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9480" windowHeight="11025" tabRatio="786"/>
  </bookViews>
  <sheets>
    <sheet name="附件1" sheetId="11" r:id="rId1"/>
    <sheet name="附件2" sheetId="38" r:id="rId2"/>
    <sheet name="附件3" sheetId="12" r:id="rId3"/>
    <sheet name="附件4" sheetId="39" r:id="rId4"/>
    <sheet name="附件5" sheetId="45" r:id="rId5"/>
    <sheet name="附件6" sheetId="46" r:id="rId6"/>
    <sheet name="附件7" sheetId="16" r:id="rId7"/>
    <sheet name="附件8" sheetId="17" r:id="rId8"/>
    <sheet name="附件9" sheetId="21" r:id="rId9"/>
    <sheet name="附件10" sheetId="44" r:id="rId10"/>
    <sheet name="附件11" sheetId="42" r:id="rId11"/>
  </sheets>
  <definedNames>
    <definedName name="_xlnm.Print_Area" localSheetId="0">附件1!$A$1:$E$28</definedName>
    <definedName name="_xlnm.Print_Area" localSheetId="9">附件10!$A$1:$G$14</definedName>
    <definedName name="_xlnm.Print_Area" localSheetId="2">附件3!$A$1:$D$58</definedName>
    <definedName name="_xlnm.Print_Area" localSheetId="3">附件4!$A$1:$F$41</definedName>
    <definedName name="_xlnm.Print_Area" localSheetId="7">附件8!$A$1:$E$24</definedName>
    <definedName name="_xlnm.Print_Area" localSheetId="8">附件9!$A$1:$E$28</definedName>
    <definedName name="_xlnm.Print_Titles" localSheetId="9">附件10!$4:$5</definedName>
    <definedName name="_xlnm.Print_Titles" localSheetId="10">附件11!$4:$5</definedName>
    <definedName name="_xlnm.Print_Titles" localSheetId="1">附件2!$4:$4</definedName>
    <definedName name="_xlnm.Print_Titles" localSheetId="2">附件3!$4:$4</definedName>
    <definedName name="_xlnm.Print_Titles" localSheetId="3">附件4!$4:$5</definedName>
    <definedName name="_xlnm.Print_Titles" localSheetId="6">附件7!$4:$5</definedName>
    <definedName name="_xlnm.Print_Titles" localSheetId="7">附件8!$4:$5</definedName>
  </definedNames>
  <calcPr calcId="124519" iterate="1"/>
</workbook>
</file>

<file path=xl/calcChain.xml><?xml version="1.0" encoding="utf-8"?>
<calcChain xmlns="http://schemas.openxmlformats.org/spreadsheetml/2006/main">
  <c r="C910" i="38"/>
  <c r="D971"/>
  <c r="C971"/>
  <c r="C964"/>
  <c r="C938"/>
  <c r="D717"/>
  <c r="D661"/>
  <c r="C661"/>
  <c r="D648"/>
  <c r="C648"/>
  <c r="C636"/>
  <c r="C414"/>
  <c r="D386"/>
  <c r="C386"/>
  <c r="E58"/>
  <c r="E29"/>
  <c r="E28"/>
  <c r="B910" l="1"/>
  <c r="B1122"/>
  <c r="B494"/>
  <c r="E1123" l="1"/>
  <c r="E1120"/>
  <c r="E1117"/>
  <c r="E1088"/>
  <c r="E1080"/>
  <c r="E1079"/>
  <c r="E1078"/>
  <c r="E1077"/>
  <c r="E1076"/>
  <c r="E1075"/>
  <c r="E1057"/>
  <c r="E1044"/>
  <c r="E1019"/>
  <c r="E1014"/>
  <c r="E994"/>
  <c r="E990"/>
  <c r="E988"/>
  <c r="E980"/>
  <c r="E969"/>
  <c r="E964"/>
  <c r="E959"/>
  <c r="E951"/>
  <c r="E904"/>
  <c r="E903"/>
  <c r="E895"/>
  <c r="E894"/>
  <c r="E872"/>
  <c r="E850"/>
  <c r="E849"/>
  <c r="E846"/>
  <c r="E845"/>
  <c r="E842"/>
  <c r="E838"/>
  <c r="E834"/>
  <c r="E831"/>
  <c r="E829"/>
  <c r="E821"/>
  <c r="E818"/>
  <c r="E815"/>
  <c r="E812"/>
  <c r="E809"/>
  <c r="E808"/>
  <c r="E800"/>
  <c r="E798"/>
  <c r="E794"/>
  <c r="E789"/>
  <c r="E786"/>
  <c r="E785"/>
  <c r="E783"/>
  <c r="E770"/>
  <c r="E767"/>
  <c r="E766"/>
  <c r="E764"/>
  <c r="E757"/>
  <c r="E756"/>
  <c r="E754"/>
  <c r="E752"/>
  <c r="E748"/>
  <c r="E746"/>
  <c r="E745"/>
  <c r="E743"/>
  <c r="E740"/>
  <c r="E736"/>
  <c r="E734"/>
  <c r="E733"/>
  <c r="E729"/>
  <c r="E728"/>
  <c r="E719"/>
  <c r="E707"/>
  <c r="E706"/>
  <c r="E688"/>
  <c r="E681"/>
  <c r="E670"/>
  <c r="E669"/>
  <c r="E668"/>
  <c r="E656"/>
  <c r="E654"/>
  <c r="E640"/>
  <c r="E635"/>
  <c r="E627"/>
  <c r="E625"/>
  <c r="E623"/>
  <c r="E620"/>
  <c r="E617"/>
  <c r="E616"/>
  <c r="E615"/>
  <c r="E614"/>
  <c r="E613"/>
  <c r="E612"/>
  <c r="E607"/>
  <c r="E606"/>
  <c r="E601"/>
  <c r="E599"/>
  <c r="E597"/>
  <c r="E596"/>
  <c r="E593"/>
  <c r="E583"/>
  <c r="E582"/>
  <c r="E577"/>
  <c r="E572"/>
  <c r="E568"/>
  <c r="E565"/>
  <c r="E564"/>
  <c r="E562"/>
  <c r="E561"/>
  <c r="E549"/>
  <c r="E543"/>
  <c r="E537"/>
  <c r="E536"/>
  <c r="E534"/>
  <c r="E533"/>
  <c r="E527"/>
  <c r="E525"/>
  <c r="E524"/>
  <c r="E504"/>
  <c r="E503"/>
  <c r="E499"/>
  <c r="E495"/>
  <c r="E493"/>
  <c r="E490"/>
  <c r="E488"/>
  <c r="E484"/>
  <c r="E470"/>
  <c r="E467"/>
  <c r="E454"/>
  <c r="E448"/>
  <c r="E427"/>
  <c r="E423"/>
  <c r="E421"/>
  <c r="E419"/>
  <c r="E416"/>
  <c r="E395"/>
  <c r="E372"/>
  <c r="E367"/>
  <c r="E357"/>
  <c r="E338"/>
  <c r="E332"/>
  <c r="E328"/>
  <c r="E327"/>
  <c r="E326"/>
  <c r="E325"/>
  <c r="E321"/>
  <c r="E320"/>
  <c r="E314"/>
  <c r="E310"/>
  <c r="E305"/>
  <c r="E296"/>
  <c r="E284"/>
  <c r="E282"/>
  <c r="E273"/>
  <c r="E262"/>
  <c r="E256"/>
  <c r="E253"/>
  <c r="E251"/>
  <c r="E244"/>
  <c r="E234"/>
  <c r="E231"/>
  <c r="E225"/>
  <c r="E221"/>
  <c r="E215"/>
  <c r="E213"/>
  <c r="E209"/>
  <c r="E202"/>
  <c r="E200"/>
  <c r="E194"/>
  <c r="E191"/>
  <c r="E188"/>
  <c r="E186"/>
  <c r="E181"/>
  <c r="E179"/>
  <c r="E161"/>
  <c r="E159"/>
  <c r="E151"/>
  <c r="E128"/>
  <c r="E119"/>
  <c r="E117"/>
  <c r="E104"/>
  <c r="E86"/>
  <c r="E74"/>
  <c r="E73"/>
  <c r="E63"/>
  <c r="E52"/>
  <c r="E47"/>
  <c r="E40"/>
  <c r="E37"/>
  <c r="E35"/>
  <c r="E34"/>
  <c r="E22"/>
  <c r="E19"/>
  <c r="E10"/>
  <c r="E7"/>
  <c r="D45" i="12" l="1"/>
  <c r="C12" i="42"/>
  <c r="C18"/>
  <c r="G14" i="44"/>
  <c r="F14"/>
  <c r="E14"/>
  <c r="G13"/>
  <c r="G10"/>
  <c r="G9"/>
  <c r="G8"/>
  <c r="G7"/>
  <c r="G6"/>
  <c r="D27" i="16"/>
  <c r="E25"/>
  <c r="E24" i="17"/>
  <c r="D17"/>
  <c r="B6"/>
  <c r="B15"/>
  <c r="E23"/>
  <c r="E20"/>
  <c r="E19"/>
  <c r="E16"/>
  <c r="E13"/>
  <c r="E12"/>
  <c r="E11"/>
  <c r="E12" i="16"/>
  <c r="B23"/>
  <c r="E24"/>
  <c r="E15"/>
  <c r="F6" i="39"/>
  <c r="F31"/>
  <c r="F7"/>
  <c r="F41" s="1"/>
  <c r="C30"/>
  <c r="E27" i="11"/>
  <c r="E19"/>
  <c r="E5"/>
  <c r="E6"/>
  <c r="E28"/>
  <c r="D16"/>
  <c r="E26"/>
  <c r="E24"/>
  <c r="E23"/>
  <c r="E22"/>
  <c r="E21"/>
  <c r="E20"/>
  <c r="E18"/>
  <c r="E17"/>
  <c r="E15"/>
  <c r="E14"/>
  <c r="E13"/>
  <c r="E12"/>
  <c r="E11"/>
  <c r="E10"/>
  <c r="E8"/>
  <c r="D1123" i="38" l="1"/>
  <c r="D73"/>
  <c r="B978"/>
  <c r="C1002" l="1"/>
  <c r="C893"/>
  <c r="E893" s="1"/>
  <c r="C428"/>
  <c r="D6" i="12" l="1"/>
  <c r="D7"/>
  <c r="D8"/>
  <c r="D11"/>
  <c r="D12"/>
  <c r="D13"/>
  <c r="D15"/>
  <c r="D16"/>
  <c r="D17"/>
  <c r="D18"/>
  <c r="D19"/>
  <c r="D20"/>
  <c r="D21"/>
  <c r="D22"/>
  <c r="D23"/>
  <c r="D24"/>
  <c r="D26"/>
  <c r="D27"/>
  <c r="D28"/>
  <c r="D29"/>
  <c r="D30"/>
  <c r="D31"/>
  <c r="D32"/>
  <c r="D33"/>
  <c r="D34"/>
  <c r="D35"/>
  <c r="D36"/>
  <c r="D37"/>
  <c r="D38"/>
  <c r="D41"/>
  <c r="D43"/>
  <c r="D44"/>
  <c r="D46"/>
  <c r="D47"/>
  <c r="D48"/>
  <c r="D49"/>
  <c r="D50"/>
  <c r="D51"/>
  <c r="D52"/>
  <c r="D53"/>
  <c r="D55"/>
  <c r="D56"/>
  <c r="E22" i="17" l="1"/>
  <c r="E17"/>
  <c r="D13"/>
  <c r="E22" i="16"/>
  <c r="C6" i="45"/>
  <c r="D6"/>
  <c r="B6"/>
  <c r="E7" i="11"/>
  <c r="E16"/>
  <c r="E25"/>
  <c r="B6" i="46" l="1"/>
  <c r="E7" i="45"/>
  <c r="E6" s="1"/>
  <c r="B14" i="12" l="1"/>
  <c r="B1121" i="38" l="1"/>
  <c r="B638"/>
  <c r="B413"/>
  <c r="B370"/>
  <c r="C1122"/>
  <c r="E1122" l="1"/>
  <c r="D1122"/>
  <c r="C1121"/>
  <c r="E1121" s="1"/>
  <c r="C392"/>
  <c r="D26" i="11"/>
  <c r="D1121" i="38" l="1"/>
  <c r="C370"/>
  <c r="E392"/>
  <c r="D392"/>
  <c r="B42" i="12"/>
  <c r="D11" i="17" l="1"/>
  <c r="D16"/>
  <c r="F13" i="39" l="1"/>
  <c r="C42" i="12" l="1"/>
  <c r="D42" s="1"/>
  <c r="C14"/>
  <c r="D14" s="1"/>
  <c r="C5"/>
  <c r="B5"/>
  <c r="B57" s="1"/>
  <c r="C18" i="17"/>
  <c r="E18" s="1"/>
  <c r="C15"/>
  <c r="E15" s="1"/>
  <c r="C9"/>
  <c r="B9"/>
  <c r="G11" i="44"/>
  <c r="G12"/>
  <c r="C23" i="16"/>
  <c r="E23" s="1"/>
  <c r="D12"/>
  <c r="C6"/>
  <c r="E6" s="1"/>
  <c r="B6"/>
  <c r="B27" s="1"/>
  <c r="C13" i="39"/>
  <c r="C8"/>
  <c r="E9" i="17" l="1"/>
  <c r="C27" i="16"/>
  <c r="E27" s="1"/>
  <c r="C57" i="12"/>
  <c r="D57" s="1"/>
  <c r="D5"/>
  <c r="C14" i="17"/>
  <c r="E14" s="1"/>
  <c r="B14"/>
  <c r="D15"/>
  <c r="D9"/>
  <c r="C7" i="39"/>
  <c r="C41" s="1"/>
  <c r="D6" i="16"/>
  <c r="C6" i="17" l="1"/>
  <c r="E6" s="1"/>
  <c r="D14"/>
  <c r="B24"/>
  <c r="D534" i="38"/>
  <c r="D1117"/>
  <c r="D1120"/>
  <c r="B1119"/>
  <c r="B1118" s="1"/>
  <c r="B1086"/>
  <c r="B1071"/>
  <c r="B1012"/>
  <c r="B843"/>
  <c r="B726"/>
  <c r="B704"/>
  <c r="B575"/>
  <c r="B468"/>
  <c r="B318"/>
  <c r="B249"/>
  <c r="B236"/>
  <c r="B5"/>
  <c r="C1118"/>
  <c r="E1118" s="1"/>
  <c r="C1119"/>
  <c r="E1119" s="1"/>
  <c r="C1087"/>
  <c r="E1087" s="1"/>
  <c r="C1072"/>
  <c r="E1072" s="1"/>
  <c r="C1056"/>
  <c r="E1056" s="1"/>
  <c r="C1043"/>
  <c r="E1043" s="1"/>
  <c r="C1013"/>
  <c r="E1013" s="1"/>
  <c r="C989"/>
  <c r="E989" s="1"/>
  <c r="C979"/>
  <c r="C958"/>
  <c r="E958" s="1"/>
  <c r="C950"/>
  <c r="E950" s="1"/>
  <c r="C902"/>
  <c r="E902" s="1"/>
  <c r="C844"/>
  <c r="E844" s="1"/>
  <c r="C840"/>
  <c r="E840" s="1"/>
  <c r="C835"/>
  <c r="E835" s="1"/>
  <c r="C828"/>
  <c r="E828" s="1"/>
  <c r="C811"/>
  <c r="E811" s="1"/>
  <c r="C784"/>
  <c r="E784" s="1"/>
  <c r="C755"/>
  <c r="E755" s="1"/>
  <c r="C727"/>
  <c r="E727" s="1"/>
  <c r="C724"/>
  <c r="C718"/>
  <c r="E718" s="1"/>
  <c r="C705"/>
  <c r="E705" s="1"/>
  <c r="C702"/>
  <c r="C685"/>
  <c r="E685" s="1"/>
  <c r="C683"/>
  <c r="C680"/>
  <c r="E680" s="1"/>
  <c r="C667"/>
  <c r="E667" s="1"/>
  <c r="C652"/>
  <c r="E652" s="1"/>
  <c r="C639"/>
  <c r="E639" s="1"/>
  <c r="C626"/>
  <c r="E626" s="1"/>
  <c r="C622"/>
  <c r="E622" s="1"/>
  <c r="C619"/>
  <c r="E619" s="1"/>
  <c r="C610"/>
  <c r="E610" s="1"/>
  <c r="C598"/>
  <c r="E598" s="1"/>
  <c r="C594"/>
  <c r="E594" s="1"/>
  <c r="C581"/>
  <c r="E581" s="1"/>
  <c r="C576"/>
  <c r="E576" s="1"/>
  <c r="C570"/>
  <c r="E570" s="1"/>
  <c r="C566"/>
  <c r="E566" s="1"/>
  <c r="C563"/>
  <c r="E563" s="1"/>
  <c r="C560"/>
  <c r="E560" s="1"/>
  <c r="C550"/>
  <c r="C542"/>
  <c r="E542" s="1"/>
  <c r="C535"/>
  <c r="E535" s="1"/>
  <c r="C526"/>
  <c r="E526" s="1"/>
  <c r="C512"/>
  <c r="E512" s="1"/>
  <c r="C502"/>
  <c r="E502" s="1"/>
  <c r="C494"/>
  <c r="E494" s="1"/>
  <c r="C483"/>
  <c r="E483" s="1"/>
  <c r="C469"/>
  <c r="E469" s="1"/>
  <c r="C464"/>
  <c r="E464" s="1"/>
  <c r="C447"/>
  <c r="E447" s="1"/>
  <c r="E414"/>
  <c r="C371"/>
  <c r="E371" s="1"/>
  <c r="C361"/>
  <c r="E361" s="1"/>
  <c r="C355"/>
  <c r="E355" s="1"/>
  <c r="C333"/>
  <c r="E333" s="1"/>
  <c r="C324"/>
  <c r="E324" s="1"/>
  <c r="C319"/>
  <c r="E319" s="1"/>
  <c r="C304"/>
  <c r="E304" s="1"/>
  <c r="C295"/>
  <c r="E295" s="1"/>
  <c r="C283"/>
  <c r="E283" s="1"/>
  <c r="C261"/>
  <c r="E261" s="1"/>
  <c r="C250"/>
  <c r="E250" s="1"/>
  <c r="C237"/>
  <c r="C232"/>
  <c r="C226"/>
  <c r="C220"/>
  <c r="C214"/>
  <c r="C208"/>
  <c r="C201"/>
  <c r="C193"/>
  <c r="C187"/>
  <c r="C180"/>
  <c r="C173"/>
  <c r="C160"/>
  <c r="C150"/>
  <c r="C127"/>
  <c r="C118"/>
  <c r="C103"/>
  <c r="C85"/>
  <c r="C73"/>
  <c r="C62"/>
  <c r="C51"/>
  <c r="C39"/>
  <c r="C27"/>
  <c r="C18"/>
  <c r="C6"/>
  <c r="D6" i="11"/>
  <c r="D8"/>
  <c r="D10"/>
  <c r="D11"/>
  <c r="D12"/>
  <c r="D13"/>
  <c r="D14"/>
  <c r="D15"/>
  <c r="D17"/>
  <c r="D18"/>
  <c r="D20"/>
  <c r="D21"/>
  <c r="D22"/>
  <c r="D23"/>
  <c r="D24"/>
  <c r="D27"/>
  <c r="C19"/>
  <c r="B19"/>
  <c r="C5"/>
  <c r="B5"/>
  <c r="E979" i="38" l="1"/>
  <c r="C978"/>
  <c r="E978" s="1"/>
  <c r="C638"/>
  <c r="D570"/>
  <c r="E237"/>
  <c r="D237"/>
  <c r="E232"/>
  <c r="D232"/>
  <c r="E226"/>
  <c r="D226"/>
  <c r="E220"/>
  <c r="D220"/>
  <c r="E214"/>
  <c r="D214"/>
  <c r="E208"/>
  <c r="D208"/>
  <c r="E201"/>
  <c r="D201"/>
  <c r="E193"/>
  <c r="D193"/>
  <c r="E187"/>
  <c r="D187"/>
  <c r="E180"/>
  <c r="D180"/>
  <c r="E173"/>
  <c r="D173"/>
  <c r="E160"/>
  <c r="D160"/>
  <c r="E150"/>
  <c r="D150"/>
  <c r="E127"/>
  <c r="D127"/>
  <c r="E118"/>
  <c r="D118"/>
  <c r="E103"/>
  <c r="D103"/>
  <c r="E85"/>
  <c r="D85"/>
  <c r="E62"/>
  <c r="D62"/>
  <c r="E51"/>
  <c r="D51"/>
  <c r="E39"/>
  <c r="D39"/>
  <c r="E27"/>
  <c r="D27"/>
  <c r="E18"/>
  <c r="D18"/>
  <c r="D6"/>
  <c r="E6"/>
  <c r="B1124"/>
  <c r="D1072"/>
  <c r="D1056"/>
  <c r="D964"/>
  <c r="D950"/>
  <c r="D811"/>
  <c r="D718"/>
  <c r="D622"/>
  <c r="D576"/>
  <c r="C575"/>
  <c r="E575" s="1"/>
  <c r="D494"/>
  <c r="D563"/>
  <c r="D560"/>
  <c r="D469"/>
  <c r="C413"/>
  <c r="E413" s="1"/>
  <c r="D414"/>
  <c r="E370"/>
  <c r="D355"/>
  <c r="D333"/>
  <c r="D295"/>
  <c r="D261"/>
  <c r="C236"/>
  <c r="E236" s="1"/>
  <c r="C24" i="17"/>
  <c r="D6"/>
  <c r="D1118" i="38"/>
  <c r="D1119"/>
  <c r="C1086"/>
  <c r="E1086" s="1"/>
  <c r="D1087"/>
  <c r="C1071"/>
  <c r="E1071" s="1"/>
  <c r="D1043"/>
  <c r="C1012"/>
  <c r="E1012" s="1"/>
  <c r="D1013"/>
  <c r="D989"/>
  <c r="D979"/>
  <c r="D958"/>
  <c r="D902"/>
  <c r="C843"/>
  <c r="E843" s="1"/>
  <c r="D844"/>
  <c r="D840"/>
  <c r="D835"/>
  <c r="D828"/>
  <c r="D784"/>
  <c r="D755"/>
  <c r="D727"/>
  <c r="C726"/>
  <c r="E726" s="1"/>
  <c r="D705"/>
  <c r="C704"/>
  <c r="E704" s="1"/>
  <c r="D685"/>
  <c r="D680"/>
  <c r="D667"/>
  <c r="D652"/>
  <c r="E638"/>
  <c r="D639"/>
  <c r="D626"/>
  <c r="D619"/>
  <c r="D610"/>
  <c r="D598"/>
  <c r="D594"/>
  <c r="D581"/>
  <c r="D566"/>
  <c r="D542"/>
  <c r="D535"/>
  <c r="D526"/>
  <c r="D512"/>
  <c r="D502"/>
  <c r="D483"/>
  <c r="C468"/>
  <c r="E468" s="1"/>
  <c r="D464"/>
  <c r="D447"/>
  <c r="D371"/>
  <c r="D361"/>
  <c r="D324"/>
  <c r="C318"/>
  <c r="E318" s="1"/>
  <c r="D319"/>
  <c r="D304"/>
  <c r="D283"/>
  <c r="D250"/>
  <c r="C249"/>
  <c r="E249" s="1"/>
  <c r="D19" i="11"/>
  <c r="D5"/>
  <c r="C28"/>
  <c r="B28"/>
  <c r="C5" i="38"/>
  <c r="E5" s="1"/>
  <c r="E910" l="1"/>
  <c r="D910"/>
  <c r="D236"/>
  <c r="D1012"/>
  <c r="D843"/>
  <c r="C1124"/>
  <c r="E1124" s="1"/>
  <c r="D28" i="11"/>
  <c r="D1086" i="38"/>
  <c r="D1071"/>
  <c r="D978"/>
  <c r="D726"/>
  <c r="D704"/>
  <c r="D638"/>
  <c r="D575"/>
  <c r="D468"/>
  <c r="D413"/>
  <c r="D370"/>
  <c r="D318"/>
  <c r="D249"/>
  <c r="D5"/>
  <c r="D1124" l="1"/>
</calcChain>
</file>

<file path=xl/sharedStrings.xml><?xml version="1.0" encoding="utf-8"?>
<sst xmlns="http://schemas.openxmlformats.org/spreadsheetml/2006/main" count="1524" uniqueCount="1170">
  <si>
    <t>单位：万元</t>
  </si>
  <si>
    <t>项      目</t>
    <phoneticPr fontId="5" type="noConversion"/>
  </si>
  <si>
    <t/>
  </si>
  <si>
    <t>项      目</t>
  </si>
  <si>
    <t xml:space="preserve">    国家电影事业发展专项资金收入</t>
    <phoneticPr fontId="1" type="noConversion"/>
  </si>
  <si>
    <t xml:space="preserve">    小型水库移民扶助基金收入</t>
    <phoneticPr fontId="1" type="noConversion"/>
  </si>
  <si>
    <t xml:space="preserve">    国有土地使用权出让收入</t>
    <phoneticPr fontId="1" type="noConversion"/>
  </si>
  <si>
    <t xml:space="preserve">    农业土地开发资金收入</t>
    <phoneticPr fontId="1" type="noConversion"/>
  </si>
  <si>
    <t xml:space="preserve">    新增建设用地土地有偿使用费收入</t>
    <phoneticPr fontId="1" type="noConversion"/>
  </si>
  <si>
    <t xml:space="preserve">    车辆通行费</t>
    <phoneticPr fontId="1" type="noConversion"/>
  </si>
  <si>
    <t xml:space="preserve">    其他政府性基金收入</t>
    <phoneticPr fontId="1" type="noConversion"/>
  </si>
  <si>
    <t xml:space="preserve">    彩票发行机构和彩票销售机构的业务费用</t>
    <phoneticPr fontId="1" type="noConversion"/>
  </si>
  <si>
    <t xml:space="preserve">    政府性基金转移收入</t>
    <phoneticPr fontId="1" type="noConversion"/>
  </si>
  <si>
    <t xml:space="preserve">    上年结余收入</t>
    <phoneticPr fontId="1" type="noConversion"/>
  </si>
  <si>
    <t xml:space="preserve">    文化体育与传媒支出</t>
    <phoneticPr fontId="1" type="noConversion"/>
  </si>
  <si>
    <t xml:space="preserve">    其他支出</t>
    <phoneticPr fontId="1" type="noConversion"/>
  </si>
  <si>
    <t xml:space="preserve">      其他政府性基金</t>
    <phoneticPr fontId="1" type="noConversion"/>
  </si>
  <si>
    <t xml:space="preserve">      </t>
    <phoneticPr fontId="1" type="noConversion"/>
  </si>
  <si>
    <t>项      目</t>
    <phoneticPr fontId="1" type="noConversion"/>
  </si>
  <si>
    <t xml:space="preserve">    增值税</t>
    <phoneticPr fontId="1" type="noConversion"/>
  </si>
  <si>
    <t xml:space="preserve">    营业税</t>
    <phoneticPr fontId="1" type="noConversion"/>
  </si>
  <si>
    <t xml:space="preserve">    企业所得税</t>
    <phoneticPr fontId="1" type="noConversion"/>
  </si>
  <si>
    <t xml:space="preserve">    企业所得税退税</t>
    <phoneticPr fontId="1" type="noConversion"/>
  </si>
  <si>
    <t xml:space="preserve">    个人所得税</t>
    <phoneticPr fontId="1" type="noConversion"/>
  </si>
  <si>
    <t xml:space="preserve">    资源税</t>
    <phoneticPr fontId="1" type="noConversion"/>
  </si>
  <si>
    <t xml:space="preserve">    城市维护建设税</t>
    <phoneticPr fontId="1" type="noConversion"/>
  </si>
  <si>
    <t xml:space="preserve">    房产税</t>
    <phoneticPr fontId="1" type="noConversion"/>
  </si>
  <si>
    <t xml:space="preserve">    印花税</t>
    <phoneticPr fontId="1" type="noConversion"/>
  </si>
  <si>
    <t xml:space="preserve">    城镇土地使用税</t>
    <phoneticPr fontId="1" type="noConversion"/>
  </si>
  <si>
    <t xml:space="preserve">    土地增值税</t>
    <phoneticPr fontId="1" type="noConversion"/>
  </si>
  <si>
    <t xml:space="preserve">    车船税</t>
    <phoneticPr fontId="1" type="noConversion"/>
  </si>
  <si>
    <t xml:space="preserve">    其他税收收入</t>
    <phoneticPr fontId="1" type="noConversion"/>
  </si>
  <si>
    <t xml:space="preserve">    专项收入</t>
    <phoneticPr fontId="1" type="noConversion"/>
  </si>
  <si>
    <t xml:space="preserve">    行政事业性收费收入</t>
    <phoneticPr fontId="1" type="noConversion"/>
  </si>
  <si>
    <t xml:space="preserve">    罚没收入</t>
    <phoneticPr fontId="1" type="noConversion"/>
  </si>
  <si>
    <t xml:space="preserve">    国有资源（资产）有偿使用收入</t>
    <phoneticPr fontId="5" type="noConversion"/>
  </si>
  <si>
    <t xml:space="preserve">    捐赠收入</t>
    <phoneticPr fontId="5" type="noConversion"/>
  </si>
  <si>
    <t xml:space="preserve">    政府住房基金收入</t>
    <phoneticPr fontId="5" type="noConversion"/>
  </si>
  <si>
    <t xml:space="preserve">    其他收入</t>
    <phoneticPr fontId="5" type="noConversion"/>
  </si>
  <si>
    <t>合    计</t>
    <phoneticPr fontId="1" type="noConversion"/>
  </si>
  <si>
    <t>一、税收收入</t>
    <phoneticPr fontId="1" type="noConversion"/>
  </si>
  <si>
    <t>二、非税收入</t>
    <phoneticPr fontId="1" type="noConversion"/>
  </si>
  <si>
    <t>预算数</t>
    <phoneticPr fontId="1" type="noConversion"/>
  </si>
  <si>
    <t>一、工资福利支出</t>
    <phoneticPr fontId="1" type="noConversion"/>
  </si>
  <si>
    <t>三、对个人和家庭的补助</t>
    <phoneticPr fontId="1" type="noConversion"/>
  </si>
  <si>
    <t>二、商品和服务支出</t>
    <phoneticPr fontId="1" type="noConversion"/>
  </si>
  <si>
    <t>合    计</t>
    <phoneticPr fontId="1" type="noConversion"/>
  </si>
  <si>
    <t>合  计</t>
    <phoneticPr fontId="1" type="noConversion"/>
  </si>
  <si>
    <t>一、政府性基金收入</t>
    <phoneticPr fontId="1" type="noConversion"/>
  </si>
  <si>
    <t>二、转移性收入</t>
    <phoneticPr fontId="1" type="noConversion"/>
  </si>
  <si>
    <t>二、转移性支出</t>
    <phoneticPr fontId="1" type="noConversion"/>
  </si>
  <si>
    <t>一、政府性基金支出</t>
    <phoneticPr fontId="1" type="noConversion"/>
  </si>
  <si>
    <t>决算数</t>
    <phoneticPr fontId="5" type="noConversion"/>
  </si>
  <si>
    <t>决算数为          预算数的%</t>
    <phoneticPr fontId="1" type="noConversion"/>
  </si>
  <si>
    <t>决算数为上年决算数的%</t>
    <phoneticPr fontId="1" type="noConversion"/>
  </si>
  <si>
    <t>一般公共预算收入合计</t>
    <phoneticPr fontId="1" type="noConversion"/>
  </si>
  <si>
    <t>……</t>
  </si>
  <si>
    <t>政协事务</t>
  </si>
  <si>
    <t>……</t>
    <phoneticPr fontId="1" type="noConversion"/>
  </si>
  <si>
    <t>基本工资</t>
  </si>
  <si>
    <t>津贴补贴</t>
  </si>
  <si>
    <t>奖金</t>
  </si>
  <si>
    <t>其他商品和服务支出</t>
  </si>
  <si>
    <t>离休费</t>
  </si>
  <si>
    <t>退休费</t>
  </si>
  <si>
    <t>其他对个人和家庭的补助支出</t>
  </si>
  <si>
    <t>决算数</t>
    <phoneticPr fontId="1" type="noConversion"/>
  </si>
  <si>
    <t xml:space="preserve">    ……</t>
    <phoneticPr fontId="1" type="noConversion"/>
  </si>
  <si>
    <t xml:space="preserve">    大中型水库移民后期扶持基金收入</t>
    <phoneticPr fontId="1" type="noConversion"/>
  </si>
  <si>
    <t xml:space="preserve">    政府住房基金收入</t>
    <phoneticPr fontId="1" type="noConversion"/>
  </si>
  <si>
    <t xml:space="preserve">    城市公用事业附加收入</t>
    <phoneticPr fontId="1" type="noConversion"/>
  </si>
  <si>
    <t xml:space="preserve">    国有土地收益基金收入</t>
    <phoneticPr fontId="1" type="noConversion"/>
  </si>
  <si>
    <t xml:space="preserve">    彩票公益金收入</t>
  </si>
  <si>
    <t xml:space="preserve">      国家电影事业发展专项资金</t>
    <phoneticPr fontId="1" type="noConversion"/>
  </si>
  <si>
    <t xml:space="preserve">   政府性基金补助下级支出</t>
    <phoneticPr fontId="1" type="noConversion"/>
  </si>
  <si>
    <t xml:space="preserve">   政府性基金上解上级支出</t>
    <phoneticPr fontId="1" type="noConversion"/>
  </si>
  <si>
    <t xml:space="preserve">   政府性基金调出资金</t>
    <phoneticPr fontId="1" type="noConversion"/>
  </si>
  <si>
    <t xml:space="preserve">   政府性基金年终结余</t>
    <phoneticPr fontId="1" type="noConversion"/>
  </si>
  <si>
    <t xml:space="preserve">   ……</t>
    <phoneticPr fontId="1" type="noConversion"/>
  </si>
  <si>
    <t>国有资本经营收入</t>
  </si>
  <si>
    <t>一、国有资本经营收入</t>
    <phoneticPr fontId="1" type="noConversion"/>
  </si>
  <si>
    <t>二、转移性收入</t>
    <phoneticPr fontId="1" type="noConversion"/>
  </si>
  <si>
    <t>利润收入</t>
  </si>
  <si>
    <t>股利、股息收入</t>
  </si>
  <si>
    <t>产权转让收入</t>
  </si>
  <si>
    <t>上级补助收入</t>
  </si>
  <si>
    <t>其他国有资本经营预算支出</t>
  </si>
  <si>
    <t>教育支出</t>
    <phoneticPr fontId="1" type="noConversion"/>
  </si>
  <si>
    <t>其他支出</t>
    <phoneticPr fontId="1" type="noConversion"/>
  </si>
  <si>
    <t>三、国有资本经营支出</t>
    <phoneticPr fontId="1" type="noConversion"/>
  </si>
  <si>
    <t>四、转移性支出</t>
    <phoneticPr fontId="1" type="noConversion"/>
  </si>
  <si>
    <t>补助下级支出</t>
    <phoneticPr fontId="1" type="noConversion"/>
  </si>
  <si>
    <t>调出资金</t>
    <phoneticPr fontId="1" type="noConversion"/>
  </si>
  <si>
    <t>年终结余</t>
    <phoneticPr fontId="1" type="noConversion"/>
  </si>
  <si>
    <t>上年结余</t>
    <phoneticPr fontId="1" type="noConversion"/>
  </si>
  <si>
    <t>国有资本经营收入合计</t>
    <phoneticPr fontId="1" type="noConversion"/>
  </si>
  <si>
    <t>国有资本经营支出合计</t>
    <phoneticPr fontId="1" type="noConversion"/>
  </si>
  <si>
    <t>附件1-1</t>
    <phoneticPr fontId="1" type="noConversion"/>
  </si>
  <si>
    <t>附件1-2</t>
    <phoneticPr fontId="1" type="noConversion"/>
  </si>
  <si>
    <t>收      入</t>
    <phoneticPr fontId="5" type="noConversion"/>
  </si>
  <si>
    <t>支      出</t>
    <phoneticPr fontId="5" type="noConversion"/>
  </si>
  <si>
    <t>项    目</t>
    <phoneticPr fontId="5" type="noConversion"/>
  </si>
  <si>
    <t>全  省</t>
    <phoneticPr fontId="5" type="noConversion"/>
  </si>
  <si>
    <t xml:space="preserve">项    目 </t>
    <phoneticPr fontId="5" type="noConversion"/>
  </si>
  <si>
    <t>当年收入</t>
    <phoneticPr fontId="5" type="noConversion"/>
  </si>
  <si>
    <t>当年支出</t>
    <phoneticPr fontId="5" type="noConversion"/>
  </si>
  <si>
    <t xml:space="preserve">  （一）返还性收入</t>
    <phoneticPr fontId="5" type="noConversion"/>
  </si>
  <si>
    <t xml:space="preserve">  （一）返还性支出</t>
    <phoneticPr fontId="5" type="noConversion"/>
  </si>
  <si>
    <t xml:space="preserve">    增值税和消费税税收返还</t>
    <phoneticPr fontId="5" type="noConversion"/>
  </si>
  <si>
    <t>　　所得税基数返还</t>
    <phoneticPr fontId="5" type="noConversion"/>
  </si>
  <si>
    <t xml:space="preserve">　　成品油价格和税费改革税收返还 </t>
    <phoneticPr fontId="5" type="noConversion"/>
  </si>
  <si>
    <t xml:space="preserve">  （二）一般性转移支付</t>
    <phoneticPr fontId="5" type="noConversion"/>
  </si>
  <si>
    <t xml:space="preserve">    体制补助</t>
    <phoneticPr fontId="5" type="noConversion"/>
  </si>
  <si>
    <t xml:space="preserve">    均衡性转移支付</t>
    <phoneticPr fontId="5" type="noConversion"/>
  </si>
  <si>
    <t xml:space="preserve">    革命老区及民族和边境地区转移支付</t>
    <phoneticPr fontId="5" type="noConversion"/>
  </si>
  <si>
    <t xml:space="preserve">    县级基本财力保障机制奖补资金</t>
    <phoneticPr fontId="5" type="noConversion"/>
  </si>
  <si>
    <t xml:space="preserve">    结算补助</t>
    <phoneticPr fontId="5" type="noConversion"/>
  </si>
  <si>
    <t xml:space="preserve">    资源枯竭型城市转移支付补助</t>
    <phoneticPr fontId="5" type="noConversion"/>
  </si>
  <si>
    <t xml:space="preserve">    企业事业单位划转补助</t>
    <phoneticPr fontId="5" type="noConversion"/>
  </si>
  <si>
    <t xml:space="preserve">    成品油价格和税费改革转移支付补助</t>
    <phoneticPr fontId="5" type="noConversion"/>
  </si>
  <si>
    <t xml:space="preserve">    基层公检法司转移支付</t>
    <phoneticPr fontId="5" type="noConversion"/>
  </si>
  <si>
    <t xml:space="preserve">    义务教育等转移支付</t>
    <phoneticPr fontId="5" type="noConversion"/>
  </si>
  <si>
    <t xml:space="preserve">    基本养老保险和低保等转移支付</t>
    <phoneticPr fontId="5" type="noConversion"/>
  </si>
  <si>
    <t xml:space="preserve">    新型农村合作医疗等转移支付</t>
    <phoneticPr fontId="5" type="noConversion"/>
  </si>
  <si>
    <t xml:space="preserve">    农村综合改革转移支付</t>
    <phoneticPr fontId="5" type="noConversion"/>
  </si>
  <si>
    <t xml:space="preserve">    产粮(油)大县奖励资金</t>
    <phoneticPr fontId="5" type="noConversion"/>
  </si>
  <si>
    <t xml:space="preserve">    重点生态功能区转移支付</t>
    <phoneticPr fontId="5" type="noConversion"/>
  </si>
  <si>
    <t xml:space="preserve">    固定数额补助</t>
    <phoneticPr fontId="5" type="noConversion"/>
  </si>
  <si>
    <t xml:space="preserve">    其他一般性转移支付</t>
    <phoneticPr fontId="5" type="noConversion"/>
  </si>
  <si>
    <t xml:space="preserve">  （三）专项转移支付</t>
    <phoneticPr fontId="5" type="noConversion"/>
  </si>
  <si>
    <t>地方政府债券收入</t>
    <phoneticPr fontId="5" type="noConversion"/>
  </si>
  <si>
    <t>国债转贷资金上年结余</t>
  </si>
  <si>
    <t>债券还本支出</t>
  </si>
  <si>
    <t>上年结余</t>
  </si>
  <si>
    <t>债务转贷支出</t>
    <phoneticPr fontId="5" type="noConversion"/>
  </si>
  <si>
    <t>调入预算稳定调节基金</t>
  </si>
  <si>
    <t>国债转贷资金结余</t>
  </si>
  <si>
    <t xml:space="preserve">调入资金     </t>
  </si>
  <si>
    <t>安排预算稳定调节基金</t>
  </si>
  <si>
    <t>市县上解收入</t>
    <phoneticPr fontId="5" type="noConversion"/>
  </si>
  <si>
    <t>增设预算周转金</t>
    <phoneticPr fontId="5" type="noConversion"/>
  </si>
  <si>
    <t xml:space="preserve">年终结余                         </t>
  </si>
  <si>
    <t xml:space="preserve">  减:结转下年的支出</t>
    <phoneticPr fontId="5" type="noConversion"/>
  </si>
  <si>
    <t>净结余</t>
  </si>
  <si>
    <t>收入合计</t>
    <phoneticPr fontId="5" type="noConversion"/>
  </si>
  <si>
    <t>支出合计</t>
    <phoneticPr fontId="5" type="noConversion"/>
  </si>
  <si>
    <t>单位：万元</t>
    <phoneticPr fontId="1" type="noConversion"/>
  </si>
  <si>
    <t>全省</t>
    <phoneticPr fontId="1" type="noConversion"/>
  </si>
  <si>
    <t>本年收入</t>
    <phoneticPr fontId="5" type="noConversion"/>
  </si>
  <si>
    <t>本年支出</t>
    <phoneticPr fontId="1" type="noConversion"/>
  </si>
  <si>
    <t>累计结余</t>
    <phoneticPr fontId="5" type="noConversion"/>
  </si>
  <si>
    <t>企业职工基本养老保险基金</t>
    <phoneticPr fontId="5" type="noConversion"/>
  </si>
  <si>
    <t>城乡居民基本养老保险基金</t>
    <phoneticPr fontId="5" type="noConversion"/>
  </si>
  <si>
    <t>城镇职工基本医疗保险基金</t>
    <phoneticPr fontId="5" type="noConversion"/>
  </si>
  <si>
    <t>居民基本医疗保险基金</t>
    <phoneticPr fontId="5" type="noConversion"/>
  </si>
  <si>
    <t>工伤保险基金</t>
    <phoneticPr fontId="5" type="noConversion"/>
  </si>
  <si>
    <t>失业保险基金</t>
    <phoneticPr fontId="5" type="noConversion"/>
  </si>
  <si>
    <t>生育保险基金</t>
    <phoneticPr fontId="5" type="noConversion"/>
  </si>
  <si>
    <t>合计</t>
    <phoneticPr fontId="5" type="noConversion"/>
  </si>
  <si>
    <t>一般债务</t>
    <phoneticPr fontId="1" type="noConversion"/>
  </si>
  <si>
    <t>专项债务</t>
    <phoneticPr fontId="1" type="noConversion"/>
  </si>
  <si>
    <t>全省合计</t>
    <phoneticPr fontId="5" type="noConversion"/>
  </si>
  <si>
    <t>附表1-8</t>
    <phoneticPr fontId="1" type="noConversion"/>
  </si>
  <si>
    <t>附表1-7</t>
    <phoneticPr fontId="1" type="noConversion"/>
  </si>
  <si>
    <t>附表1-4</t>
    <phoneticPr fontId="1" type="noConversion"/>
  </si>
  <si>
    <t>附表1-3</t>
    <phoneticPr fontId="1" type="noConversion"/>
  </si>
  <si>
    <t xml:space="preserve">    国有资本经营收入</t>
    <phoneticPr fontId="5" type="noConversion"/>
  </si>
  <si>
    <t>调整预算数</t>
    <phoneticPr fontId="5" type="noConversion"/>
  </si>
  <si>
    <t>项    目</t>
    <phoneticPr fontId="1" type="noConversion"/>
  </si>
  <si>
    <t>调整预算数</t>
    <phoneticPr fontId="1" type="noConversion"/>
  </si>
  <si>
    <t>决算数</t>
    <phoneticPr fontId="1" type="noConversion"/>
  </si>
  <si>
    <t>决算数为预算数的%</t>
    <phoneticPr fontId="1" type="noConversion"/>
  </si>
  <si>
    <t>决算数为上年决算数的%</t>
    <phoneticPr fontId="1" type="noConversion"/>
  </si>
  <si>
    <t>一、一般公共服务支出</t>
    <phoneticPr fontId="1" type="noConversion"/>
  </si>
  <si>
    <t>其中：人大事务</t>
    <phoneticPr fontId="1" type="noConversion"/>
  </si>
  <si>
    <t>其中：行政运行</t>
    <phoneticPr fontId="1" type="noConversion"/>
  </si>
  <si>
    <t>一般行政管理事务</t>
  </si>
  <si>
    <t>机关服务</t>
  </si>
  <si>
    <t>人大会议</t>
  </si>
  <si>
    <t>人大立法</t>
  </si>
  <si>
    <t>人大监督</t>
  </si>
  <si>
    <t>人大代表履职能力提升</t>
  </si>
  <si>
    <t>代表工作</t>
  </si>
  <si>
    <t>人大信访工作</t>
  </si>
  <si>
    <t>事业运行</t>
  </si>
  <si>
    <t>其他人大事务支出</t>
  </si>
  <si>
    <t>其中：行政运行</t>
  </si>
  <si>
    <t>政协会议</t>
  </si>
  <si>
    <t>委员视察</t>
  </si>
  <si>
    <t>参政议政</t>
  </si>
  <si>
    <t>其他政协事务支出</t>
  </si>
  <si>
    <t>政府办公厅(室)及相关机构事务</t>
  </si>
  <si>
    <t>专项服务</t>
  </si>
  <si>
    <t>专项业务活动</t>
  </si>
  <si>
    <t>政务公开审批</t>
  </si>
  <si>
    <t>法制建设</t>
  </si>
  <si>
    <t>信访事务</t>
  </si>
  <si>
    <t>参事事务</t>
  </si>
  <si>
    <t>其他政府办公厅(室)及相关机构事务支出</t>
  </si>
  <si>
    <t>发展与改革事务</t>
  </si>
  <si>
    <t>战略规划与实施</t>
  </si>
  <si>
    <t>日常经济运行调节</t>
  </si>
  <si>
    <t>社会事业发展规划</t>
  </si>
  <si>
    <t>经济体制改革研究</t>
  </si>
  <si>
    <t>物价管理</t>
  </si>
  <si>
    <t xml:space="preserve">          应对气候变化管理事务</t>
    <phoneticPr fontId="1" type="noConversion"/>
  </si>
  <si>
    <t>其他发展与改革事务支出</t>
  </si>
  <si>
    <t>统计信息事务</t>
  </si>
  <si>
    <t>信息事务</t>
  </si>
  <si>
    <t>专项统计业务</t>
  </si>
  <si>
    <t>统计管理</t>
  </si>
  <si>
    <t>专项普查活动</t>
  </si>
  <si>
    <t>统计抽样调查</t>
  </si>
  <si>
    <t>其他统计信息事务支出</t>
  </si>
  <si>
    <t>财政事务</t>
  </si>
  <si>
    <t>预算改革业务</t>
  </si>
  <si>
    <t>财政国库业务</t>
  </si>
  <si>
    <t>财政监察</t>
  </si>
  <si>
    <t>信息化建设</t>
  </si>
  <si>
    <t>财政委托业务支出</t>
  </si>
  <si>
    <t>其他财政事务支出</t>
  </si>
  <si>
    <t>税收事务</t>
  </si>
  <si>
    <t>税务办案</t>
  </si>
  <si>
    <t>税务登记证及发票管理</t>
  </si>
  <si>
    <t>代扣代收代征税款手续费</t>
  </si>
  <si>
    <t>税务宣传</t>
  </si>
  <si>
    <t>协税护税</t>
  </si>
  <si>
    <t>其他税收事务支出</t>
  </si>
  <si>
    <t>审计事务</t>
  </si>
  <si>
    <t>审计业务</t>
  </si>
  <si>
    <t>审计管理</t>
  </si>
  <si>
    <t>其他审计事务支出</t>
  </si>
  <si>
    <t>海关事务</t>
  </si>
  <si>
    <t>缉私办案</t>
  </si>
  <si>
    <t>口岸电子执法系统建设与维护</t>
  </si>
  <si>
    <t>其他海关事务支出</t>
  </si>
  <si>
    <t>人力资源事务</t>
  </si>
  <si>
    <t>政府特殊津贴</t>
  </si>
  <si>
    <t>资助留学回国人员</t>
  </si>
  <si>
    <t>军队转业干部安置</t>
  </si>
  <si>
    <t>博士后日常经费</t>
  </si>
  <si>
    <t>引进人才费用</t>
  </si>
  <si>
    <t>公务员考核</t>
  </si>
  <si>
    <t>公务员履职能力提升</t>
  </si>
  <si>
    <t>公务员招考</t>
  </si>
  <si>
    <t>公务员综合管理</t>
  </si>
  <si>
    <t>其他人力资源事务支出</t>
  </si>
  <si>
    <t>商贸事务</t>
  </si>
  <si>
    <t>对外贸易管理</t>
  </si>
  <si>
    <t>国际经济合作</t>
  </si>
  <si>
    <t>外资管理</t>
  </si>
  <si>
    <t>国内贸易管理</t>
  </si>
  <si>
    <t>招商引资</t>
  </si>
  <si>
    <t>其他商贸事务支出</t>
  </si>
  <si>
    <t>知识产权事务</t>
  </si>
  <si>
    <t>专利审批</t>
  </si>
  <si>
    <t>国家知识产权战略</t>
  </si>
  <si>
    <t>专利试点和产业化推进</t>
  </si>
  <si>
    <t>专利执法</t>
  </si>
  <si>
    <t>国际组织专项活动</t>
  </si>
  <si>
    <t>知识产权宏观管理</t>
  </si>
  <si>
    <t>其他知识产权事务支出</t>
  </si>
  <si>
    <t>工商行政管理事务</t>
  </si>
  <si>
    <t>工商行政管理专项</t>
  </si>
  <si>
    <t>执法办案专项</t>
  </si>
  <si>
    <t>消费者权益保护</t>
  </si>
  <si>
    <t>其他工商行政管理事务支出</t>
  </si>
  <si>
    <t>质量技术监督与检验检疫事务</t>
  </si>
  <si>
    <t>出入境检验检疫行政执法和业务管理</t>
  </si>
  <si>
    <t>出入境检验检疫技术支持</t>
  </si>
  <si>
    <t>质量技术监督行政执法及业务管理</t>
  </si>
  <si>
    <t>质量技术监督技术支持</t>
  </si>
  <si>
    <t>认证认可监督管理</t>
  </si>
  <si>
    <t>标准化管理</t>
  </si>
  <si>
    <t>其他质量技术监督与检验检疫事务支出</t>
  </si>
  <si>
    <t>民族事务</t>
  </si>
  <si>
    <t>民族工作专项</t>
  </si>
  <si>
    <t>其他民族事务支出</t>
  </si>
  <si>
    <t>档案事务</t>
  </si>
  <si>
    <t>档案馆</t>
  </si>
  <si>
    <t>其他档案事务支出</t>
  </si>
  <si>
    <t>群众团体事务</t>
  </si>
  <si>
    <t>厂务公开</t>
  </si>
  <si>
    <t>工会疗养休养</t>
  </si>
  <si>
    <t>其他群众团体事务支出</t>
  </si>
  <si>
    <t>其他一般公共服务支出</t>
    <phoneticPr fontId="1" type="noConversion"/>
  </si>
  <si>
    <t>其中：国家赔偿费用支出</t>
  </si>
  <si>
    <t>其他一般公共服务支出(项)</t>
  </si>
  <si>
    <t>二、外交支出</t>
    <phoneticPr fontId="1" type="noConversion"/>
  </si>
  <si>
    <t>三、国防支出</t>
    <phoneticPr fontId="1" type="noConversion"/>
  </si>
  <si>
    <t>四、公共安全支出</t>
    <phoneticPr fontId="1" type="noConversion"/>
  </si>
  <si>
    <t>五、教育支出</t>
    <phoneticPr fontId="1" type="noConversion"/>
  </si>
  <si>
    <t>其中：教育管理事务</t>
    <phoneticPr fontId="1" type="noConversion"/>
  </si>
  <si>
    <t>其他教育管理事务支出</t>
  </si>
  <si>
    <t>普通教育</t>
    <phoneticPr fontId="1" type="noConversion"/>
  </si>
  <si>
    <t>其中：学前教育</t>
  </si>
  <si>
    <t>小学教育</t>
  </si>
  <si>
    <t>初中教育</t>
  </si>
  <si>
    <t>高中教育</t>
  </si>
  <si>
    <t>高等教育</t>
  </si>
  <si>
    <t>化解农村义务教育债务支出</t>
  </si>
  <si>
    <t>化解普通高中债务支出</t>
  </si>
  <si>
    <t>其他普通教育支出</t>
  </si>
  <si>
    <t>职业教育</t>
    <phoneticPr fontId="1" type="noConversion"/>
  </si>
  <si>
    <t>其中：初等职业教育</t>
  </si>
  <si>
    <t>中专教育</t>
  </si>
  <si>
    <t>技校教育</t>
  </si>
  <si>
    <t>职业高中教育</t>
  </si>
  <si>
    <t>高等职业教育</t>
  </si>
  <si>
    <t>其他职业教育支出</t>
  </si>
  <si>
    <t>成人教育</t>
    <phoneticPr fontId="1" type="noConversion"/>
  </si>
  <si>
    <t>其中：成人初等教育</t>
  </si>
  <si>
    <t>成人中等教育</t>
  </si>
  <si>
    <t>成人高等教育</t>
  </si>
  <si>
    <t>成人广播电视教育</t>
  </si>
  <si>
    <t>其他成人教育支出</t>
  </si>
  <si>
    <t>广播电视教育</t>
    <phoneticPr fontId="1" type="noConversion"/>
  </si>
  <si>
    <t>其中：广播电视学校</t>
  </si>
  <si>
    <t>教育电视台</t>
  </si>
  <si>
    <t>其他广播电视教育支出</t>
  </si>
  <si>
    <t>留学教育</t>
    <phoneticPr fontId="1" type="noConversion"/>
  </si>
  <si>
    <t>特殊教育</t>
    <phoneticPr fontId="1" type="noConversion"/>
  </si>
  <si>
    <t>其中：特殊学校教育</t>
  </si>
  <si>
    <t>工读学校教育</t>
  </si>
  <si>
    <t>其他特殊教育支出</t>
  </si>
  <si>
    <t>进修及培训</t>
    <phoneticPr fontId="1" type="noConversion"/>
  </si>
  <si>
    <t>其中：教师进修</t>
  </si>
  <si>
    <t>干部教育</t>
  </si>
  <si>
    <t>培训支出</t>
  </si>
  <si>
    <t>退役士兵能力提升</t>
  </si>
  <si>
    <t>其他进修及培训</t>
  </si>
  <si>
    <t>教育费附加安排的支出</t>
    <phoneticPr fontId="1" type="noConversion"/>
  </si>
  <si>
    <t>其中：农村中小学校舍建设</t>
  </si>
  <si>
    <t>农村中小学教学设施</t>
  </si>
  <si>
    <t>城市中小学校舍建设</t>
  </si>
  <si>
    <t>城市中小学教学设施</t>
  </si>
  <si>
    <t>中等职业学校教学设施</t>
  </si>
  <si>
    <t>其他教育费附加安排的支出</t>
  </si>
  <si>
    <t>其他教育支出</t>
    <phoneticPr fontId="1" type="noConversion"/>
  </si>
  <si>
    <t>其中：其他教育支出(项)</t>
  </si>
  <si>
    <t>六、科学技术支出</t>
    <phoneticPr fontId="1" type="noConversion"/>
  </si>
  <si>
    <t>其中：科学技术管理事务</t>
    <phoneticPr fontId="1" type="noConversion"/>
  </si>
  <si>
    <t>其中：行政运行</t>
    <phoneticPr fontId="1" type="noConversion"/>
  </si>
  <si>
    <t>其他科学技术管理事务支出</t>
  </si>
  <si>
    <t>基础研究</t>
    <phoneticPr fontId="1" type="noConversion"/>
  </si>
  <si>
    <t>其中：机构运行</t>
  </si>
  <si>
    <t>重点基础研究规划</t>
  </si>
  <si>
    <t>自然科学基金</t>
  </si>
  <si>
    <t>重点实验室及相关设施</t>
  </si>
  <si>
    <t>重大科学工程</t>
  </si>
  <si>
    <t>专项基础科研</t>
  </si>
  <si>
    <t>专项技术基础</t>
  </si>
  <si>
    <t>其他基础研究支出</t>
  </si>
  <si>
    <t>应用研究</t>
    <phoneticPr fontId="1" type="noConversion"/>
  </si>
  <si>
    <t>技术研究与开发</t>
    <phoneticPr fontId="1" type="noConversion"/>
  </si>
  <si>
    <t>应用技术研究与开发</t>
  </si>
  <si>
    <t>产业技术研究与开发</t>
  </si>
  <si>
    <t>科技成果转化与扩散</t>
  </si>
  <si>
    <t>其他技术研究与开发支出</t>
  </si>
  <si>
    <t>科技条件与服务</t>
    <phoneticPr fontId="1" type="noConversion"/>
  </si>
  <si>
    <t>技术创新服务体系</t>
  </si>
  <si>
    <t>科技条件专项</t>
  </si>
  <si>
    <t>其他科技条件与服务支出</t>
  </si>
  <si>
    <t>社会科学</t>
    <phoneticPr fontId="1" type="noConversion"/>
  </si>
  <si>
    <t>其中：社会科学研究机构</t>
  </si>
  <si>
    <t>社会科学研究</t>
  </si>
  <si>
    <t>社科基金支出</t>
  </si>
  <si>
    <t>其他社会科学支出</t>
  </si>
  <si>
    <t>科学技术普及</t>
    <phoneticPr fontId="1" type="noConversion"/>
  </si>
  <si>
    <t>科普活动</t>
  </si>
  <si>
    <t>青少年科技活动</t>
  </si>
  <si>
    <t>学术交流活动</t>
  </si>
  <si>
    <t>科技馆站</t>
  </si>
  <si>
    <t>其他科学技术普及支出</t>
  </si>
  <si>
    <t>科技交流与合作</t>
    <phoneticPr fontId="1" type="noConversion"/>
  </si>
  <si>
    <t>其中：国际交流与合作</t>
  </si>
  <si>
    <t>重大科技合作项目</t>
  </si>
  <si>
    <t>其他科技交流与合作支出</t>
  </si>
  <si>
    <t>七、文化体育与传媒支出</t>
    <phoneticPr fontId="1" type="noConversion"/>
  </si>
  <si>
    <t>其中：文化</t>
    <phoneticPr fontId="1" type="noConversion"/>
  </si>
  <si>
    <t>图书馆</t>
  </si>
  <si>
    <t>文化展示及纪念机构</t>
  </si>
  <si>
    <t>艺术表演场所</t>
  </si>
  <si>
    <t>艺术表演团体</t>
  </si>
  <si>
    <t>文化活动</t>
  </si>
  <si>
    <t>群众文化</t>
  </si>
  <si>
    <t>文化交流与合作</t>
  </si>
  <si>
    <t>文化创作与保护</t>
  </si>
  <si>
    <t>文化市场管理</t>
  </si>
  <si>
    <t>其他文化支出</t>
  </si>
  <si>
    <t>文物</t>
    <phoneticPr fontId="1" type="noConversion"/>
  </si>
  <si>
    <t>文物保护</t>
  </si>
  <si>
    <t>博物馆</t>
  </si>
  <si>
    <t>历史名城与古迹</t>
  </si>
  <si>
    <t>其他文物支出</t>
  </si>
  <si>
    <t>体育</t>
    <phoneticPr fontId="1" type="noConversion"/>
  </si>
  <si>
    <t>运动项目管理</t>
  </si>
  <si>
    <t>体育竞赛</t>
  </si>
  <si>
    <t>体育训练</t>
  </si>
  <si>
    <t>体育场馆</t>
  </si>
  <si>
    <t>群众体育</t>
  </si>
  <si>
    <t>体育交流与合作</t>
  </si>
  <si>
    <t>其他体育支出</t>
  </si>
  <si>
    <t>广播影视</t>
    <phoneticPr fontId="1" type="noConversion"/>
  </si>
  <si>
    <t>广播</t>
  </si>
  <si>
    <t>电视</t>
  </si>
  <si>
    <t>电影</t>
  </si>
  <si>
    <t>其他广播影视支出</t>
  </si>
  <si>
    <t>新闻出版</t>
    <phoneticPr fontId="1" type="noConversion"/>
  </si>
  <si>
    <t>新闻通讯</t>
  </si>
  <si>
    <t>出版发行</t>
  </si>
  <si>
    <t>版权管理</t>
  </si>
  <si>
    <t>出版市场管理</t>
  </si>
  <si>
    <t>其他新闻出版支出</t>
  </si>
  <si>
    <t>其他文化体育与传媒支出</t>
    <phoneticPr fontId="1" type="noConversion"/>
  </si>
  <si>
    <t>其中：宣传文化发展专项支出</t>
  </si>
  <si>
    <t>文化产业发展专项支出</t>
  </si>
  <si>
    <t>其他文化体育与传媒支出(项)</t>
    <phoneticPr fontId="1" type="noConversion"/>
  </si>
  <si>
    <t>八、社会保障和就业支出</t>
    <phoneticPr fontId="1" type="noConversion"/>
  </si>
  <si>
    <t>其中：人力资源和社会保障管理事务</t>
    <phoneticPr fontId="1" type="noConversion"/>
  </si>
  <si>
    <t>综合业务管理</t>
  </si>
  <si>
    <t>劳动保障监察</t>
  </si>
  <si>
    <t>就业管理事务</t>
  </si>
  <si>
    <t>社会保险业务管理事务</t>
  </si>
  <si>
    <t>社会保险经办机构</t>
  </si>
  <si>
    <t>劳动关系和维权</t>
  </si>
  <si>
    <t>公共就业服务和职业技能鉴定机构</t>
  </si>
  <si>
    <t>劳动人事争议调解仲裁</t>
  </si>
  <si>
    <t>其他人力资源和社会保障管理事务支出</t>
  </si>
  <si>
    <t>民政管理事务</t>
    <phoneticPr fontId="1" type="noConversion"/>
  </si>
  <si>
    <t>拥军优属</t>
  </si>
  <si>
    <t>老龄事务</t>
  </si>
  <si>
    <t>民间组织管理</t>
  </si>
  <si>
    <t>行政区划和地名管理</t>
  </si>
  <si>
    <t>基层政权和社区建设</t>
  </si>
  <si>
    <t>部队供应</t>
  </si>
  <si>
    <t>其他民政管理事务支出</t>
  </si>
  <si>
    <t>财政对社会保险基金的补助</t>
    <phoneticPr fontId="1" type="noConversion"/>
  </si>
  <si>
    <t>其中：财政对基本养老保险基金的补助</t>
  </si>
  <si>
    <t>财政对失业保险基金的补助</t>
  </si>
  <si>
    <t>财政对基本医疗保险基金的补助</t>
  </si>
  <si>
    <t>财政对工伤保险基金的补助</t>
  </si>
  <si>
    <t>财政对生育保险基金的补助</t>
  </si>
  <si>
    <t>财政对城乡居民基本养老保险基金的补助</t>
    <phoneticPr fontId="1" type="noConversion"/>
  </si>
  <si>
    <t>财政对其他社会保险基金的补助</t>
  </si>
  <si>
    <t>行政事业单位离退休</t>
    <phoneticPr fontId="1" type="noConversion"/>
  </si>
  <si>
    <t>其中：归口管理的行政单位离退休</t>
  </si>
  <si>
    <t>事业单位离退休</t>
  </si>
  <si>
    <t>离退休人员管理机构</t>
  </si>
  <si>
    <t>未归口管理的行政单位离退休</t>
  </si>
  <si>
    <t>其他行政事业单位离退休支出</t>
  </si>
  <si>
    <t>企业改革补助</t>
    <phoneticPr fontId="1" type="noConversion"/>
  </si>
  <si>
    <t>其中：企业关闭破产补助</t>
  </si>
  <si>
    <t>厂办大集体改革补助</t>
  </si>
  <si>
    <t>其他企业改革发展补助</t>
  </si>
  <si>
    <t>就业补助</t>
    <phoneticPr fontId="1" type="noConversion"/>
  </si>
  <si>
    <t>其中：扶持公共就业服务</t>
  </si>
  <si>
    <t>职业培训补贴</t>
  </si>
  <si>
    <t>职业介绍补贴</t>
  </si>
  <si>
    <t>社会保险补贴</t>
  </si>
  <si>
    <t>公益性岗位补贴</t>
  </si>
  <si>
    <t>小额担保贷款贴息</t>
  </si>
  <si>
    <t>补充小额贷款担保基金</t>
  </si>
  <si>
    <t>职业技能鉴定补贴</t>
  </si>
  <si>
    <t>特定就业政策支出</t>
  </si>
  <si>
    <t>就业见习补贴</t>
  </si>
  <si>
    <t>高技能人才培养补助</t>
  </si>
  <si>
    <t>求职补贴</t>
  </si>
  <si>
    <t>其他就业补助支出</t>
  </si>
  <si>
    <t>抚恤</t>
    <phoneticPr fontId="1" type="noConversion"/>
  </si>
  <si>
    <t>其中：死亡抚恤</t>
  </si>
  <si>
    <t>伤残抚恤</t>
  </si>
  <si>
    <t>在乡复员、退伍军人生活补助</t>
  </si>
  <si>
    <t>优抚事业单位支出</t>
  </si>
  <si>
    <t>义务兵优待</t>
  </si>
  <si>
    <t>农村籍退役士兵老年生活补助</t>
  </si>
  <si>
    <t>其他优抚支出</t>
  </si>
  <si>
    <t>退役安置</t>
    <phoneticPr fontId="1" type="noConversion"/>
  </si>
  <si>
    <t>社会福利</t>
    <phoneticPr fontId="1" type="noConversion"/>
  </si>
  <si>
    <t>其中：儿童福利</t>
  </si>
  <si>
    <t>老年福利</t>
  </si>
  <si>
    <t>假肢矫形</t>
  </si>
  <si>
    <t>殡葬</t>
  </si>
  <si>
    <t>社会福利事业单位</t>
  </si>
  <si>
    <t>其他社会福利支出</t>
  </si>
  <si>
    <t>残疾人事业</t>
    <phoneticPr fontId="1" type="noConversion"/>
  </si>
  <si>
    <t>残疾人康复</t>
  </si>
  <si>
    <t>残疾人就业和扶贫</t>
  </si>
  <si>
    <t>残疾人体育</t>
  </si>
  <si>
    <t>其他残疾人事业支出</t>
  </si>
  <si>
    <t>自然灾害生活救助</t>
    <phoneticPr fontId="1" type="noConversion"/>
  </si>
  <si>
    <t>其中：中央自然灾害生活补助</t>
  </si>
  <si>
    <t>地方自然灾害生活补助</t>
  </si>
  <si>
    <t>自然灾害灾后重建补助</t>
  </si>
  <si>
    <t>其他自然灾害生活救助支出</t>
  </si>
  <si>
    <t>红十字事业</t>
    <phoneticPr fontId="1" type="noConversion"/>
  </si>
  <si>
    <t>其他红十字事业支出</t>
  </si>
  <si>
    <t>最低生活保障</t>
    <phoneticPr fontId="1" type="noConversion"/>
  </si>
  <si>
    <t xml:space="preserve">   其中：城市最低生活保障金支出</t>
    <phoneticPr fontId="1" type="noConversion"/>
  </si>
  <si>
    <t xml:space="preserve">       农村最低生活保障金支出</t>
    <phoneticPr fontId="1" type="noConversion"/>
  </si>
  <si>
    <t>临时救助</t>
    <phoneticPr fontId="1" type="noConversion"/>
  </si>
  <si>
    <t xml:space="preserve">   其中：临时救助支出</t>
    <phoneticPr fontId="1" type="noConversion"/>
  </si>
  <si>
    <t xml:space="preserve">       流浪乞讨人员救助支出</t>
    <phoneticPr fontId="1" type="noConversion"/>
  </si>
  <si>
    <t>特困人员供养</t>
    <phoneticPr fontId="1" type="noConversion"/>
  </si>
  <si>
    <t xml:space="preserve">   其中：城市特困人员供养支出</t>
    <phoneticPr fontId="1" type="noConversion"/>
  </si>
  <si>
    <t xml:space="preserve">       农村五保供养支出</t>
    <phoneticPr fontId="1" type="noConversion"/>
  </si>
  <si>
    <t>补充道路交通事故社会救助基金</t>
    <phoneticPr fontId="1" type="noConversion"/>
  </si>
  <si>
    <t>其他生活救助</t>
    <phoneticPr fontId="1" type="noConversion"/>
  </si>
  <si>
    <t xml:space="preserve">   其中：其他城市生活救助</t>
    <phoneticPr fontId="1" type="noConversion"/>
  </si>
  <si>
    <t xml:space="preserve">       其他农村生活救助</t>
    <phoneticPr fontId="1" type="noConversion"/>
  </si>
  <si>
    <t>其他社会保障和就业支出</t>
    <phoneticPr fontId="1" type="noConversion"/>
  </si>
  <si>
    <t>其中：其他社会保障和就业支出(项)</t>
  </si>
  <si>
    <t>九、医疗卫生与计划生育支出</t>
    <phoneticPr fontId="1" type="noConversion"/>
  </si>
  <si>
    <t>其中：医疗卫生与计划生育管理事务</t>
    <phoneticPr fontId="1" type="noConversion"/>
  </si>
  <si>
    <t>其他医疗卫生与计划生育管理事务支出</t>
    <phoneticPr fontId="1" type="noConversion"/>
  </si>
  <si>
    <t>公立医院</t>
    <phoneticPr fontId="1" type="noConversion"/>
  </si>
  <si>
    <t>其中：综合医院</t>
  </si>
  <si>
    <t>中医(民族)医院</t>
  </si>
  <si>
    <t>传染病医院</t>
  </si>
  <si>
    <t>职业病防治医院</t>
  </si>
  <si>
    <t>精神病医院</t>
  </si>
  <si>
    <t>妇产医院</t>
  </si>
  <si>
    <t>儿童医院</t>
  </si>
  <si>
    <t>其他专科医院</t>
  </si>
  <si>
    <t>福利医院</t>
  </si>
  <si>
    <t>行业医院</t>
  </si>
  <si>
    <t>处理医疗欠费</t>
  </si>
  <si>
    <t>其他公立医院支出</t>
  </si>
  <si>
    <t>基层医疗卫生机构</t>
    <phoneticPr fontId="1" type="noConversion"/>
  </si>
  <si>
    <t>其中：城市社区卫生机构</t>
  </si>
  <si>
    <t>乡镇卫生院</t>
  </si>
  <si>
    <t>其他基层医疗卫生机构支出</t>
  </si>
  <si>
    <t>公共卫生</t>
    <phoneticPr fontId="1" type="noConversion"/>
  </si>
  <si>
    <t>其中：疾病预防控制机构</t>
  </si>
  <si>
    <t>卫生监督机构</t>
  </si>
  <si>
    <t>妇幼保健机构</t>
  </si>
  <si>
    <t>精神卫生机构</t>
  </si>
  <si>
    <t>应急救治机构</t>
  </si>
  <si>
    <t>采供血机构</t>
  </si>
  <si>
    <t>其他专业公共卫生机构</t>
  </si>
  <si>
    <t>基本公共卫生服务</t>
  </si>
  <si>
    <t>重大公共卫生专项</t>
  </si>
  <si>
    <t>突发公共卫生事件应急处理</t>
  </si>
  <si>
    <t>其他公共卫生支出</t>
  </si>
  <si>
    <t>医疗保障</t>
    <phoneticPr fontId="1" type="noConversion"/>
  </si>
  <si>
    <t>其中：事业单位医疗</t>
  </si>
  <si>
    <t>公务员医疗补助</t>
  </si>
  <si>
    <t>优抚对象医疗补助</t>
  </si>
  <si>
    <t>新型农村合作医疗</t>
  </si>
  <si>
    <t>城镇居民基本医疗保险</t>
  </si>
  <si>
    <t>城乡医疗救助</t>
  </si>
  <si>
    <t>疾病应急救助</t>
  </si>
  <si>
    <t>中医药</t>
    <phoneticPr fontId="1" type="noConversion"/>
  </si>
  <si>
    <t>其中：中医(民族医)药专项</t>
  </si>
  <si>
    <t>其他中医药支出</t>
  </si>
  <si>
    <t>计划生育事务</t>
    <phoneticPr fontId="1" type="noConversion"/>
  </si>
  <si>
    <t>其中：计划生育机构</t>
    <phoneticPr fontId="1" type="noConversion"/>
  </si>
  <si>
    <t xml:space="preserve">    计划生育服务</t>
    <phoneticPr fontId="1" type="noConversion"/>
  </si>
  <si>
    <t xml:space="preserve">    其他计划生育事务支出</t>
  </si>
  <si>
    <t>食品和药品监督管理事务</t>
    <phoneticPr fontId="1" type="noConversion"/>
  </si>
  <si>
    <t>药品事务</t>
  </si>
  <si>
    <t>化妆品事务</t>
  </si>
  <si>
    <t>医疗器械事务</t>
  </si>
  <si>
    <t>食品安全事务</t>
  </si>
  <si>
    <t>其他食品和药品监督管理事务支出</t>
  </si>
  <si>
    <t>其他医疗卫生与计划生育支出</t>
    <phoneticPr fontId="1" type="noConversion"/>
  </si>
  <si>
    <t>其中：其他医疗卫生与计划生育支出(项)</t>
  </si>
  <si>
    <t>十、节能环保支出</t>
    <phoneticPr fontId="1" type="noConversion"/>
  </si>
  <si>
    <t>其中：环境保护管理事务</t>
    <phoneticPr fontId="1" type="noConversion"/>
  </si>
  <si>
    <t>环境保护宣传</t>
  </si>
  <si>
    <t>环境保护法规、规划及标准</t>
  </si>
  <si>
    <t>环境国际合作及履约</t>
  </si>
  <si>
    <t>环境保护行政许可</t>
  </si>
  <si>
    <t>其他环境保护管理事务支出</t>
  </si>
  <si>
    <t>环境监测与监察</t>
    <phoneticPr fontId="1" type="noConversion"/>
  </si>
  <si>
    <t>其中：建设项目环评审查与监督</t>
  </si>
  <si>
    <t>核与辐射安全监督</t>
  </si>
  <si>
    <t>其他环境监测与监察支出</t>
  </si>
  <si>
    <t>污染防治</t>
    <phoneticPr fontId="1" type="noConversion"/>
  </si>
  <si>
    <t>其中：大气</t>
  </si>
  <si>
    <t>水体</t>
  </si>
  <si>
    <t>噪声</t>
  </si>
  <si>
    <t>固体废弃物与化学品</t>
  </si>
  <si>
    <t>放射源和放射性废物监管</t>
  </si>
  <si>
    <t>辐射</t>
  </si>
  <si>
    <t>排污费安排的支出</t>
  </si>
  <si>
    <t>其他污染防治支出</t>
  </si>
  <si>
    <t>自然生态保护</t>
    <phoneticPr fontId="1" type="noConversion"/>
  </si>
  <si>
    <t>其中：生态保护</t>
  </si>
  <si>
    <t>农村环境保护</t>
  </si>
  <si>
    <t>自然保护区</t>
  </si>
  <si>
    <t>生物及物种资源保护</t>
  </si>
  <si>
    <t>其他自然生态保护支出</t>
  </si>
  <si>
    <t>天然林保护</t>
    <phoneticPr fontId="1" type="noConversion"/>
  </si>
  <si>
    <t>其中：森林管护</t>
  </si>
  <si>
    <t>社会保险补助</t>
  </si>
  <si>
    <t>政策性社会性支出补助</t>
  </si>
  <si>
    <t>天然林保护工程建设</t>
  </si>
  <si>
    <t>其他天然林保护支出</t>
  </si>
  <si>
    <t>退耕还林</t>
    <phoneticPr fontId="1" type="noConversion"/>
  </si>
  <si>
    <t>其中：退耕现金</t>
  </si>
  <si>
    <t>退耕还林粮食折现补贴</t>
  </si>
  <si>
    <t>退耕还林粮食费用补贴</t>
  </si>
  <si>
    <t>退耕还林工程建设</t>
  </si>
  <si>
    <t>其他退耕还林支出</t>
  </si>
  <si>
    <t>风沙荒漠治理</t>
    <phoneticPr fontId="1" type="noConversion"/>
  </si>
  <si>
    <t>退牧还草</t>
    <phoneticPr fontId="1" type="noConversion"/>
  </si>
  <si>
    <t>其中：退牧还草工程建设</t>
  </si>
  <si>
    <t>其他退牧还草支出</t>
  </si>
  <si>
    <t>能源节约利用(款)</t>
    <phoneticPr fontId="1" type="noConversion"/>
  </si>
  <si>
    <t>其中：能源节约利用(项)</t>
  </si>
  <si>
    <t>污染减排</t>
    <phoneticPr fontId="1" type="noConversion"/>
  </si>
  <si>
    <t>其中：环境监测与信息</t>
  </si>
  <si>
    <t>环境执法监察</t>
  </si>
  <si>
    <t>减排专项支出</t>
  </si>
  <si>
    <t>清洁生产专项支出</t>
  </si>
  <si>
    <t>其他污染减排支出</t>
  </si>
  <si>
    <t>可再生能源(款)</t>
    <phoneticPr fontId="1" type="noConversion"/>
  </si>
  <si>
    <t>其中：可再生能源(项)</t>
  </si>
  <si>
    <t>循环经济(款)</t>
    <phoneticPr fontId="1" type="noConversion"/>
  </si>
  <si>
    <t>其中：循环经济(项)</t>
    <phoneticPr fontId="1" type="noConversion"/>
  </si>
  <si>
    <t>能源管理事务</t>
    <phoneticPr fontId="1" type="noConversion"/>
  </si>
  <si>
    <t>江河湖库流域治理与保护</t>
    <phoneticPr fontId="1" type="noConversion"/>
  </si>
  <si>
    <t>其中：水源地建设与保护</t>
    <phoneticPr fontId="1" type="noConversion"/>
  </si>
  <si>
    <t xml:space="preserve">   河流治理与保护</t>
    <phoneticPr fontId="1" type="noConversion"/>
  </si>
  <si>
    <t xml:space="preserve">   湖库生态环境保护</t>
    <phoneticPr fontId="1" type="noConversion"/>
  </si>
  <si>
    <t xml:space="preserve">   地下水修复与保护</t>
    <phoneticPr fontId="1" type="noConversion"/>
  </si>
  <si>
    <t xml:space="preserve">   其他江河湖库流域治理与保护</t>
    <phoneticPr fontId="1" type="noConversion"/>
  </si>
  <si>
    <t>其他节能环保支出</t>
    <phoneticPr fontId="1" type="noConversion"/>
  </si>
  <si>
    <t>其中：其他节能环保支出(项)</t>
  </si>
  <si>
    <t>十一、城乡社区支出</t>
    <phoneticPr fontId="1" type="noConversion"/>
  </si>
  <si>
    <t>其中：城乡社区管理事务</t>
    <phoneticPr fontId="1" type="noConversion"/>
  </si>
  <si>
    <t>城管执法</t>
  </si>
  <si>
    <t>工程建设标准规范编制与监管</t>
  </si>
  <si>
    <t>工程建设管理</t>
  </si>
  <si>
    <t>市政公用行业市场监管</t>
  </si>
  <si>
    <t>国家重点风景区规划与保护</t>
  </si>
  <si>
    <t>住宅建设与房地产市场监管</t>
  </si>
  <si>
    <t>执业资格注册、资质审查</t>
  </si>
  <si>
    <t>其他城乡社区管理事务支出</t>
  </si>
  <si>
    <t>城乡社区规划与管理</t>
    <phoneticPr fontId="1" type="noConversion"/>
  </si>
  <si>
    <t>城乡社区公共设施</t>
    <phoneticPr fontId="1" type="noConversion"/>
  </si>
  <si>
    <t>其中：小城镇基础设施建设</t>
  </si>
  <si>
    <t>其他城乡社区公共设施支出</t>
    <phoneticPr fontId="1" type="noConversion"/>
  </si>
  <si>
    <t>城乡社区环境卫生</t>
    <phoneticPr fontId="1" type="noConversion"/>
  </si>
  <si>
    <t>建设市场管理与监督</t>
    <phoneticPr fontId="1" type="noConversion"/>
  </si>
  <si>
    <t>其中：建设市场管理与监督(项)</t>
  </si>
  <si>
    <t>其他城乡社区支出</t>
    <phoneticPr fontId="1" type="noConversion"/>
  </si>
  <si>
    <t>其中：其他城乡社区支出(项)</t>
  </si>
  <si>
    <t>十二、农林水支出</t>
    <phoneticPr fontId="1" type="noConversion"/>
  </si>
  <si>
    <t>其中：农业</t>
    <phoneticPr fontId="1" type="noConversion"/>
  </si>
  <si>
    <t>农垦运行</t>
  </si>
  <si>
    <t>科技转化与推广服务</t>
    <phoneticPr fontId="1" type="noConversion"/>
  </si>
  <si>
    <t>病虫害控制</t>
  </si>
  <si>
    <t>农产品质量安全</t>
  </si>
  <si>
    <t>执法监管</t>
  </si>
  <si>
    <t>统计监测与信息服务</t>
  </si>
  <si>
    <t>农业行业业务管理</t>
  </si>
  <si>
    <t>对外交流与合作</t>
  </si>
  <si>
    <t>防灾救灾</t>
    <phoneticPr fontId="1" type="noConversion"/>
  </si>
  <si>
    <t>稳定农民收入补贴</t>
  </si>
  <si>
    <t>农业结构调整补贴</t>
  </si>
  <si>
    <t>农业生产资料与技术补贴</t>
  </si>
  <si>
    <t>农业生产保险补贴</t>
  </si>
  <si>
    <t>农业组织化与产业化经营</t>
  </si>
  <si>
    <t>农产品加工与促销</t>
  </si>
  <si>
    <t>农村公益事业</t>
  </si>
  <si>
    <t>农业资源保护修复与利用</t>
    <phoneticPr fontId="1" type="noConversion"/>
  </si>
  <si>
    <t>农村道路建设</t>
  </si>
  <si>
    <t>农资综合补贴</t>
  </si>
  <si>
    <t>石油价格改革对渔业的补贴</t>
  </si>
  <si>
    <t>对高校毕业生到基层任职补助</t>
  </si>
  <si>
    <t>草原植被恢复费安排的支出</t>
  </si>
  <si>
    <t>其他农业支出</t>
  </si>
  <si>
    <t>林业</t>
    <phoneticPr fontId="1" type="noConversion"/>
  </si>
  <si>
    <t>林业事业机构</t>
  </si>
  <si>
    <t>森林培育</t>
  </si>
  <si>
    <t>林业技术推广</t>
  </si>
  <si>
    <t>森林资源管理</t>
  </si>
  <si>
    <t>森林资源监测</t>
  </si>
  <si>
    <t>森林生态效益补偿</t>
  </si>
  <si>
    <t>林业自然保护区</t>
  </si>
  <si>
    <t>动植物保护</t>
  </si>
  <si>
    <t>湿地保护</t>
  </si>
  <si>
    <t>林业执法与监督</t>
  </si>
  <si>
    <t>林业检疫检测</t>
  </si>
  <si>
    <t>防沙治沙</t>
  </si>
  <si>
    <t>林业质量安全</t>
  </si>
  <si>
    <t>林业工程与项目管理</t>
  </si>
  <si>
    <t>林业对外合作与交流</t>
  </si>
  <si>
    <t>林业产业化</t>
  </si>
  <si>
    <t>信息管理</t>
  </si>
  <si>
    <t>林业政策制定与宣传</t>
  </si>
  <si>
    <t>林业资金审计稽查</t>
  </si>
  <si>
    <t>林区公共支出</t>
  </si>
  <si>
    <t>林业贷款贴息</t>
  </si>
  <si>
    <t>石油价格改革对林业的补贴</t>
  </si>
  <si>
    <t>森林保险保费补贴</t>
  </si>
  <si>
    <t>林业防灾减灾</t>
  </si>
  <si>
    <t>其他林业支出</t>
  </si>
  <si>
    <t>水利</t>
    <phoneticPr fontId="1" type="noConversion"/>
  </si>
  <si>
    <t>水利行业业务管理</t>
  </si>
  <si>
    <t>水利工程建设</t>
  </si>
  <si>
    <t>水利工程运行与维护</t>
  </si>
  <si>
    <t>长江黄河等流域管理</t>
  </si>
  <si>
    <t>水利前期工作</t>
  </si>
  <si>
    <t>水利执法监督</t>
  </si>
  <si>
    <t>水土保持</t>
  </si>
  <si>
    <t>水资源节约管理与保护</t>
  </si>
  <si>
    <t>水质监测</t>
  </si>
  <si>
    <t>水文测报</t>
  </si>
  <si>
    <t>防汛</t>
  </si>
  <si>
    <t>抗旱</t>
  </si>
  <si>
    <t>农田水利</t>
  </si>
  <si>
    <t>水利技术推广</t>
  </si>
  <si>
    <t>大中型水库移民后期扶持专项支出</t>
  </si>
  <si>
    <t>水利安全监督</t>
  </si>
  <si>
    <t>水资源费安排的支出</t>
  </si>
  <si>
    <t>砂石资源费支出</t>
  </si>
  <si>
    <t>水利建设移民支出</t>
  </si>
  <si>
    <t>农村人畜饮水</t>
  </si>
  <si>
    <t>南水北调</t>
    <phoneticPr fontId="1" type="noConversion"/>
  </si>
  <si>
    <t>扶贫</t>
    <phoneticPr fontId="1" type="noConversion"/>
  </si>
  <si>
    <t>农村基础设施建设</t>
  </si>
  <si>
    <t>生产发展</t>
  </si>
  <si>
    <t>社会发展</t>
  </si>
  <si>
    <t>扶贫贷款奖补和贴息</t>
  </si>
  <si>
    <t>“三西”农业建设专项补助</t>
  </si>
  <si>
    <t>扶贫事业机构</t>
  </si>
  <si>
    <t>其他扶贫支出</t>
  </si>
  <si>
    <t>农业综合开发</t>
    <phoneticPr fontId="1" type="noConversion"/>
  </si>
  <si>
    <t>土地治理</t>
  </si>
  <si>
    <t>产业化经营</t>
  </si>
  <si>
    <t>科技示范</t>
  </si>
  <si>
    <t>其他农业综合开发支出</t>
  </si>
  <si>
    <t>农村综合改革</t>
    <phoneticPr fontId="1" type="noConversion"/>
  </si>
  <si>
    <t>其中：对村级一事一议的补助</t>
  </si>
  <si>
    <t>国有农场办社会职能改革补助</t>
  </si>
  <si>
    <t>对村民委员会和村党支部的补助</t>
  </si>
  <si>
    <t>对村集体经济组织的补助</t>
  </si>
  <si>
    <t>农村综合改革示范试点补助</t>
  </si>
  <si>
    <t>其他农村综合改革支出</t>
  </si>
  <si>
    <t>促进金融支农支出</t>
    <phoneticPr fontId="1" type="noConversion"/>
  </si>
  <si>
    <t>其中：支持农村金融机构</t>
  </si>
  <si>
    <t>涉农贷款增量奖励</t>
  </si>
  <si>
    <t>其他金融支农支持</t>
  </si>
  <si>
    <t>目标价格补贴</t>
    <phoneticPr fontId="1" type="noConversion"/>
  </si>
  <si>
    <t>其他农林水支出</t>
    <phoneticPr fontId="1" type="noConversion"/>
  </si>
  <si>
    <t>其中：化解其他公益性乡村债务支出</t>
  </si>
  <si>
    <t>其他农林水支出(项)</t>
  </si>
  <si>
    <t>十三、交通运输支出</t>
    <phoneticPr fontId="1" type="noConversion"/>
  </si>
  <si>
    <t>其中：公路水路运输</t>
    <phoneticPr fontId="1" type="noConversion"/>
  </si>
  <si>
    <t>公路新建</t>
  </si>
  <si>
    <t>公路改建</t>
  </si>
  <si>
    <t>公路养护</t>
  </si>
  <si>
    <t>特大型桥梁建设</t>
  </si>
  <si>
    <t>公路路政管理</t>
  </si>
  <si>
    <t>公路和运输信息化建设</t>
  </si>
  <si>
    <t>公路和运输安全</t>
  </si>
  <si>
    <t>公路还贷专项</t>
  </si>
  <si>
    <t>公路运输管理</t>
  </si>
  <si>
    <t>公路客货运站(场)建设</t>
  </si>
  <si>
    <t>公路和运输技术标准化建设</t>
  </si>
  <si>
    <t>港口设施</t>
  </si>
  <si>
    <t>航道维护</t>
  </si>
  <si>
    <t>安全通信</t>
  </si>
  <si>
    <t>三峡库区通航管理</t>
  </si>
  <si>
    <t>航务管理</t>
  </si>
  <si>
    <t>船舶检验</t>
  </si>
  <si>
    <t>救助打捞</t>
  </si>
  <si>
    <t>内河运输</t>
  </si>
  <si>
    <t>远洋运输</t>
  </si>
  <si>
    <t>海事管理</t>
  </si>
  <si>
    <t>水路运输管理支出</t>
  </si>
  <si>
    <t>口岸建设</t>
  </si>
  <si>
    <t>取消政府还贷二级公路收费专项支出</t>
  </si>
  <si>
    <t>其他公路水路运输支出</t>
  </si>
  <si>
    <t>铁路运输</t>
    <phoneticPr fontId="1" type="noConversion"/>
  </si>
  <si>
    <t>其中：行政运行</t>
    <phoneticPr fontId="1" type="noConversion"/>
  </si>
  <si>
    <t>铁路路网建设</t>
  </si>
  <si>
    <t>铁路还贷专项</t>
  </si>
  <si>
    <t>铁路安全</t>
  </si>
  <si>
    <t>铁路专项运输</t>
  </si>
  <si>
    <t>行业监管</t>
    <phoneticPr fontId="1" type="noConversion"/>
  </si>
  <si>
    <t>其他铁路运输支出</t>
  </si>
  <si>
    <t>民用航空运输</t>
    <phoneticPr fontId="1" type="noConversion"/>
  </si>
  <si>
    <t>机场建设</t>
  </si>
  <si>
    <t>空管系统建设</t>
  </si>
  <si>
    <t>民航还贷专项支出</t>
  </si>
  <si>
    <t>民用航空安全</t>
  </si>
  <si>
    <t>民航专项运输</t>
  </si>
  <si>
    <t>其他民用航空运输支出</t>
  </si>
  <si>
    <t>石油价格改革对交通运输的补贴</t>
    <phoneticPr fontId="1" type="noConversion"/>
  </si>
  <si>
    <t>邮政业支出</t>
    <phoneticPr fontId="1" type="noConversion"/>
  </si>
  <si>
    <t>行业监管</t>
  </si>
  <si>
    <t>邮政普遍服务与特殊服务</t>
  </si>
  <si>
    <t>其他邮政业支出</t>
  </si>
  <si>
    <t>车辆购置税支出</t>
    <phoneticPr fontId="1" type="noConversion"/>
  </si>
  <si>
    <t>其中：车辆购置税用于公路等基础设施建设支出</t>
    <phoneticPr fontId="1" type="noConversion"/>
  </si>
  <si>
    <t>车辆购置税用于农村公路建设支出</t>
  </si>
  <si>
    <t>车辆购置税用于老旧汽车报废更新补贴支出</t>
  </si>
  <si>
    <t>车辆购置税其他支出</t>
  </si>
  <si>
    <t>其他交通运输支出</t>
    <phoneticPr fontId="1" type="noConversion"/>
  </si>
  <si>
    <t>其中：公共交通运营补助</t>
    <phoneticPr fontId="1" type="noConversion"/>
  </si>
  <si>
    <t>其他交通运输支出(项)</t>
  </si>
  <si>
    <t>十四、资源勘探信息等支出</t>
    <phoneticPr fontId="1" type="noConversion"/>
  </si>
  <si>
    <t>其中：资源勘探开发</t>
    <phoneticPr fontId="1" type="noConversion"/>
  </si>
  <si>
    <t>煤炭勘探开采和洗选</t>
  </si>
  <si>
    <t>石油和天然气勘探开采</t>
  </si>
  <si>
    <t>黑色金属矿勘探和采选</t>
  </si>
  <si>
    <t>有色金属矿勘探和采选</t>
  </si>
  <si>
    <t>非金属矿勘探和采选</t>
  </si>
  <si>
    <t>其他资源勘探业支出</t>
  </si>
  <si>
    <t>制造业</t>
    <phoneticPr fontId="1" type="noConversion"/>
  </si>
  <si>
    <t>纺织业</t>
  </si>
  <si>
    <t>医药制造业</t>
  </si>
  <si>
    <t>非金属矿物制品业</t>
  </si>
  <si>
    <t>通信设备、计算机及其他电子设备制造业</t>
  </si>
  <si>
    <t>交通运输设备制造业</t>
  </si>
  <si>
    <t>电气机械及器材制造业</t>
  </si>
  <si>
    <t>工艺品及其他制造业</t>
  </si>
  <si>
    <t>石油加工、炼焦及核燃料加工业</t>
  </si>
  <si>
    <t>化学原料及化学制品制造业</t>
  </si>
  <si>
    <t>黑色金属冶炼及压延加工业</t>
  </si>
  <si>
    <t>有色金属冶炼及压延加工业</t>
  </si>
  <si>
    <t>其他制造业支出</t>
  </si>
  <si>
    <t>建筑业</t>
    <phoneticPr fontId="1" type="noConversion"/>
  </si>
  <si>
    <t>工业和信息产业监管</t>
    <phoneticPr fontId="1" type="noConversion"/>
  </si>
  <si>
    <t>专用通信</t>
  </si>
  <si>
    <t>无线电监管</t>
  </si>
  <si>
    <t>工业和信息产业战略研究与标准制定</t>
  </si>
  <si>
    <t>工业和信息产业支持</t>
  </si>
  <si>
    <t>电子专项工程</t>
  </si>
  <si>
    <t>技术基础研究</t>
  </si>
  <si>
    <t>其他工业和信息产业监管支出</t>
  </si>
  <si>
    <t>安全生产监管</t>
    <phoneticPr fontId="1" type="noConversion"/>
  </si>
  <si>
    <t>安全监管监察专项</t>
  </si>
  <si>
    <t>应急救援支出</t>
  </si>
  <si>
    <t>煤炭安全</t>
  </si>
  <si>
    <t>其他安全生产监管支出</t>
  </si>
  <si>
    <t>国有资产监管</t>
    <phoneticPr fontId="1" type="noConversion"/>
  </si>
  <si>
    <t>国有企业监事会专项</t>
  </si>
  <si>
    <t>其他国有资产监管支出</t>
  </si>
  <si>
    <t>支持中小企业发展和管理支出</t>
    <phoneticPr fontId="1" type="noConversion"/>
  </si>
  <si>
    <t>科技型中小企业技术创新基金</t>
  </si>
  <si>
    <t>中小企业发展专项</t>
  </si>
  <si>
    <t>其他支持中小企业发展和管理支出</t>
  </si>
  <si>
    <t>其他资源勘探信息等支出</t>
    <phoneticPr fontId="1" type="noConversion"/>
  </si>
  <si>
    <t>其中：黄金事务</t>
  </si>
  <si>
    <t>建设项目贷款贴息</t>
  </si>
  <si>
    <t>技术改造支出</t>
  </si>
  <si>
    <t>中药材扶持资金支出</t>
  </si>
  <si>
    <t>重点产业振兴和技术改造项目贷款贴息</t>
  </si>
  <si>
    <t>其他资源勘探信息等支出(项)</t>
  </si>
  <si>
    <t>十五、商业服务业等支出</t>
    <phoneticPr fontId="1" type="noConversion"/>
  </si>
  <si>
    <t>其中：商业流通事务</t>
    <phoneticPr fontId="1" type="noConversion"/>
  </si>
  <si>
    <t>食品流通安全补贴</t>
  </si>
  <si>
    <t>市场监测及信息管理</t>
  </si>
  <si>
    <t>民贸企业补贴</t>
    <phoneticPr fontId="1" type="noConversion"/>
  </si>
  <si>
    <t>民贸民品贷款贴息</t>
  </si>
  <si>
    <t>其他商业流通事务支出</t>
  </si>
  <si>
    <t>旅游业管理与服务支出</t>
    <phoneticPr fontId="1" type="noConversion"/>
  </si>
  <si>
    <t>旅游宣传</t>
  </si>
  <si>
    <t>旅游行业业务管理</t>
  </si>
  <si>
    <t>其他旅游业管理与服务支出</t>
  </si>
  <si>
    <t>涉外发展服务支出</t>
    <phoneticPr fontId="1" type="noConversion"/>
  </si>
  <si>
    <t>外商投资环境建设补助资金</t>
  </si>
  <si>
    <t>其他涉外发展服务支出</t>
  </si>
  <si>
    <t>其他商业服务业等支出(款)</t>
    <phoneticPr fontId="1" type="noConversion"/>
  </si>
  <si>
    <t>其中：服务业基础设施建设</t>
  </si>
  <si>
    <t>其他商业服务业等支出(项)</t>
  </si>
  <si>
    <t>十六、金融支出</t>
    <phoneticPr fontId="1" type="noConversion"/>
  </si>
  <si>
    <t>其中：金融部门行政支出</t>
    <phoneticPr fontId="1" type="noConversion"/>
  </si>
  <si>
    <t>金融部门监管支出</t>
    <phoneticPr fontId="1" type="noConversion"/>
  </si>
  <si>
    <t>金融发展支出</t>
    <phoneticPr fontId="1" type="noConversion"/>
  </si>
  <si>
    <t>其他金融支出</t>
    <phoneticPr fontId="1" type="noConversion"/>
  </si>
  <si>
    <t>其中：其他金融支出(项)</t>
  </si>
  <si>
    <t>十七、援助其他地区支出</t>
    <phoneticPr fontId="1" type="noConversion"/>
  </si>
  <si>
    <t>十八、国土海洋气象等支出</t>
    <phoneticPr fontId="1" type="noConversion"/>
  </si>
  <si>
    <t>其中：国土资源事务</t>
    <phoneticPr fontId="1" type="noConversion"/>
  </si>
  <si>
    <t>国土资源规划及管理</t>
  </si>
  <si>
    <t>土地资源调查</t>
  </si>
  <si>
    <t>土地资源利用与保护</t>
  </si>
  <si>
    <t>国土资源社会公益服务</t>
  </si>
  <si>
    <t>国土资源行业业务管理</t>
  </si>
  <si>
    <t>国土资源调查</t>
  </si>
  <si>
    <t>国土整治</t>
  </si>
  <si>
    <t>地质灾害防治</t>
  </si>
  <si>
    <t>土地资源储备支出</t>
  </si>
  <si>
    <t>地质及矿产资源调查</t>
  </si>
  <si>
    <t>地质矿产资源利用与保护</t>
  </si>
  <si>
    <t>地质转产项目财政贴息</t>
  </si>
  <si>
    <t>地质勘查基金(周转金)支出</t>
  </si>
  <si>
    <t>矿产资源专项收入安排的支出</t>
  </si>
  <si>
    <t>其他国土资源事务支出</t>
  </si>
  <si>
    <t>海洋管理事务</t>
    <phoneticPr fontId="1" type="noConversion"/>
  </si>
  <si>
    <t>测绘事务</t>
    <phoneticPr fontId="1" type="noConversion"/>
  </si>
  <si>
    <t>基础测绘</t>
  </si>
  <si>
    <t>航空摄影</t>
  </si>
  <si>
    <t>测绘工程建设</t>
  </si>
  <si>
    <t>其他测绘事务支出</t>
  </si>
  <si>
    <t>地震事务</t>
    <phoneticPr fontId="1" type="noConversion"/>
  </si>
  <si>
    <t>地震监测</t>
  </si>
  <si>
    <t>地震预测预报</t>
  </si>
  <si>
    <t>地震灾害预防</t>
  </si>
  <si>
    <t>地震应急救援</t>
  </si>
  <si>
    <t>地震环境探察</t>
  </si>
  <si>
    <t>防震减灾信息管理</t>
  </si>
  <si>
    <t>防震减灾基础管理</t>
  </si>
  <si>
    <t>地震事业机构</t>
  </si>
  <si>
    <t>其他地震事务支出</t>
  </si>
  <si>
    <t>气象事务</t>
    <phoneticPr fontId="1" type="noConversion"/>
  </si>
  <si>
    <t>气象事业机构</t>
  </si>
  <si>
    <t>气象技术研究应用</t>
  </si>
  <si>
    <t>气象探测</t>
  </si>
  <si>
    <t>气象信息传输及管理</t>
  </si>
  <si>
    <t>气象预报预测</t>
  </si>
  <si>
    <t>气象服务</t>
  </si>
  <si>
    <t>气象装备保障维护</t>
  </si>
  <si>
    <t>气象基础设施建设与维修</t>
  </si>
  <si>
    <t>气象法规与标准</t>
  </si>
  <si>
    <t>其他气象事务支出</t>
    <phoneticPr fontId="1" type="noConversion"/>
  </si>
  <si>
    <t>其他国土海洋气象等支出</t>
    <phoneticPr fontId="1" type="noConversion"/>
  </si>
  <si>
    <t>十九、住房保障支出</t>
    <phoneticPr fontId="1" type="noConversion"/>
  </si>
  <si>
    <t>其中：保障性安居工程支出</t>
    <phoneticPr fontId="1" type="noConversion"/>
  </si>
  <si>
    <t>其中：廉租住房</t>
  </si>
  <si>
    <t>沉陷区治理</t>
  </si>
  <si>
    <t>棚户区改造</t>
  </si>
  <si>
    <t>少数民族地区游牧民定居工程</t>
  </si>
  <si>
    <t>农村危房改造</t>
  </si>
  <si>
    <t>公共租赁住房</t>
  </si>
  <si>
    <t>保障性住房租金补贴</t>
  </si>
  <si>
    <t>其他保障性安居工程支出</t>
  </si>
  <si>
    <t>住房改革支出</t>
    <phoneticPr fontId="1" type="noConversion"/>
  </si>
  <si>
    <t>其中：住房公积金</t>
  </si>
  <si>
    <t>提租补贴</t>
  </si>
  <si>
    <t>购房补贴</t>
  </si>
  <si>
    <t>城乡社区住宅</t>
    <phoneticPr fontId="1" type="noConversion"/>
  </si>
  <si>
    <t>二十、粮油物资储备支出</t>
    <phoneticPr fontId="1" type="noConversion"/>
  </si>
  <si>
    <t>其中：粮油事务</t>
    <phoneticPr fontId="1" type="noConversion"/>
  </si>
  <si>
    <t>粮食财务与审计支出</t>
  </si>
  <si>
    <t>粮食信息统计</t>
  </si>
  <si>
    <t>粮食专项业务活动</t>
  </si>
  <si>
    <t>粮食财务挂账利息补贴</t>
  </si>
  <si>
    <t>粮食财务挂账消化款</t>
  </si>
  <si>
    <t>处理陈化粮补贴</t>
  </si>
  <si>
    <t>粮食风险基金</t>
  </si>
  <si>
    <t>粮油市场调控专项资金</t>
  </si>
  <si>
    <t>物资事务</t>
    <phoneticPr fontId="1" type="noConversion"/>
  </si>
  <si>
    <t>铁路专用线</t>
  </si>
  <si>
    <t>护库武警和民兵支出</t>
  </si>
  <si>
    <t>物资保管与保养</t>
  </si>
  <si>
    <t>专项贷款利息</t>
  </si>
  <si>
    <t>物资轮换</t>
  </si>
  <si>
    <t>仓库建设</t>
  </si>
  <si>
    <t>其他物资事务支出</t>
  </si>
  <si>
    <t>粮油储备</t>
    <phoneticPr fontId="1" type="noConversion"/>
  </si>
  <si>
    <t>二十一、其他支出(类)</t>
    <phoneticPr fontId="1" type="noConversion"/>
  </si>
  <si>
    <t>二十二、债务付息支出</t>
    <phoneticPr fontId="1" type="noConversion"/>
  </si>
  <si>
    <t>其中：地方政府债务付息支出</t>
    <phoneticPr fontId="1" type="noConversion"/>
  </si>
  <si>
    <t xml:space="preserve">    其中：一般债务付息支出</t>
    <phoneticPr fontId="1" type="noConversion"/>
  </si>
  <si>
    <t>二十三、债务发行费用支出</t>
    <phoneticPr fontId="1" type="noConversion"/>
  </si>
  <si>
    <t>其中：地方政府债务发行费用支出</t>
    <phoneticPr fontId="1" type="noConversion"/>
  </si>
  <si>
    <t xml:space="preserve">    一般债务发行费用支出</t>
    <phoneticPr fontId="1" type="noConversion"/>
  </si>
  <si>
    <t>合  计</t>
    <phoneticPr fontId="1" type="noConversion"/>
  </si>
  <si>
    <t>纪检监察事务</t>
    <phoneticPr fontId="1" type="noConversion"/>
  </si>
  <si>
    <t>其中：行政运行</t>
    <phoneticPr fontId="1" type="noConversion"/>
  </si>
  <si>
    <t>大案要案查处</t>
    <phoneticPr fontId="1" type="noConversion"/>
  </si>
  <si>
    <t>派驻派出机构</t>
    <phoneticPr fontId="1" type="noConversion"/>
  </si>
  <si>
    <t>中央巡视</t>
    <phoneticPr fontId="1" type="noConversion"/>
  </si>
  <si>
    <t>其他纪检监察事务支出</t>
    <phoneticPr fontId="1" type="noConversion"/>
  </si>
  <si>
    <t>宗教事务</t>
    <phoneticPr fontId="1" type="noConversion"/>
  </si>
  <si>
    <t>宗教工作专项</t>
    <phoneticPr fontId="1" type="noConversion"/>
  </si>
  <si>
    <t>其他宗教事务支出</t>
    <phoneticPr fontId="1" type="noConversion"/>
  </si>
  <si>
    <t>党委办公厅（室）及相关机构事务</t>
    <phoneticPr fontId="1" type="noConversion"/>
  </si>
  <si>
    <t>专项业务</t>
    <phoneticPr fontId="1" type="noConversion"/>
  </si>
  <si>
    <t>其他党委办公厅（室）及相关机构事务支出</t>
    <phoneticPr fontId="1" type="noConversion"/>
  </si>
  <si>
    <t>组织事务</t>
    <phoneticPr fontId="1" type="noConversion"/>
  </si>
  <si>
    <t>其他组织事务支出</t>
    <phoneticPr fontId="1" type="noConversion"/>
  </si>
  <si>
    <t>宣传事务</t>
    <phoneticPr fontId="1" type="noConversion"/>
  </si>
  <si>
    <t>其他宣传事务支出</t>
    <phoneticPr fontId="1" type="noConversion"/>
  </si>
  <si>
    <t>统战事务</t>
    <phoneticPr fontId="1" type="noConversion"/>
  </si>
  <si>
    <t>其他统战事务支出</t>
    <phoneticPr fontId="1" type="noConversion"/>
  </si>
  <si>
    <t>其他共产党事务支出（款）</t>
    <phoneticPr fontId="1" type="noConversion"/>
  </si>
  <si>
    <t>其他共产党事务支出（项）</t>
    <phoneticPr fontId="1" type="noConversion"/>
  </si>
  <si>
    <t>其中：国防动员</t>
    <phoneticPr fontId="1" type="noConversion"/>
  </si>
  <si>
    <t>其中：民兵征集</t>
    <phoneticPr fontId="1" type="noConversion"/>
  </si>
  <si>
    <t>经济动员</t>
    <phoneticPr fontId="1" type="noConversion"/>
  </si>
  <si>
    <t>人民防空</t>
    <phoneticPr fontId="1" type="noConversion"/>
  </si>
  <si>
    <t>交通战备</t>
    <phoneticPr fontId="1" type="noConversion"/>
  </si>
  <si>
    <t>国防教育</t>
    <phoneticPr fontId="1" type="noConversion"/>
  </si>
  <si>
    <t>预备役部队</t>
    <phoneticPr fontId="1" type="noConversion"/>
  </si>
  <si>
    <t>民兵</t>
    <phoneticPr fontId="1" type="noConversion"/>
  </si>
  <si>
    <t>其他国防动员支出</t>
    <phoneticPr fontId="1" type="noConversion"/>
  </si>
  <si>
    <t>其中：武装警察</t>
    <phoneticPr fontId="1" type="noConversion"/>
  </si>
  <si>
    <t>其中：内卫</t>
    <phoneticPr fontId="1" type="noConversion"/>
  </si>
  <si>
    <t>边防</t>
    <phoneticPr fontId="1" type="noConversion"/>
  </si>
  <si>
    <t>消防</t>
    <phoneticPr fontId="1" type="noConversion"/>
  </si>
  <si>
    <t>警卫</t>
    <phoneticPr fontId="1" type="noConversion"/>
  </si>
  <si>
    <t>黄金</t>
    <phoneticPr fontId="1" type="noConversion"/>
  </si>
  <si>
    <t>森林</t>
    <phoneticPr fontId="1" type="noConversion"/>
  </si>
  <si>
    <t>水电</t>
    <phoneticPr fontId="1" type="noConversion"/>
  </si>
  <si>
    <t>交通</t>
    <phoneticPr fontId="1" type="noConversion"/>
  </si>
  <si>
    <t>海警</t>
    <phoneticPr fontId="1" type="noConversion"/>
  </si>
  <si>
    <t>其他武装警察支出</t>
    <phoneticPr fontId="1" type="noConversion"/>
  </si>
  <si>
    <t>公安</t>
    <phoneticPr fontId="1" type="noConversion"/>
  </si>
  <si>
    <t>治安管理</t>
    <phoneticPr fontId="1" type="noConversion"/>
  </si>
  <si>
    <t>国内安全保卫</t>
    <phoneticPr fontId="1" type="noConversion"/>
  </si>
  <si>
    <t>刑事侦查</t>
    <phoneticPr fontId="1" type="noConversion"/>
  </si>
  <si>
    <t>经济犯罪侦查</t>
    <phoneticPr fontId="1" type="noConversion"/>
  </si>
  <si>
    <t>出入境管理</t>
    <phoneticPr fontId="1" type="noConversion"/>
  </si>
  <si>
    <t>行动技术管理</t>
    <phoneticPr fontId="1" type="noConversion"/>
  </si>
  <si>
    <t>防范和处理邪教犯罪</t>
    <phoneticPr fontId="1" type="noConversion"/>
  </si>
  <si>
    <t>禁毒管理</t>
    <phoneticPr fontId="1" type="noConversion"/>
  </si>
  <si>
    <t>道路交通管理</t>
    <phoneticPr fontId="1" type="noConversion"/>
  </si>
  <si>
    <t>网络侦控管理</t>
    <phoneticPr fontId="1" type="noConversion"/>
  </si>
  <si>
    <t>反恐怖</t>
    <phoneticPr fontId="1" type="noConversion"/>
  </si>
  <si>
    <t>居民身份证管理</t>
    <phoneticPr fontId="1" type="noConversion"/>
  </si>
  <si>
    <t>网络运行及维护</t>
    <phoneticPr fontId="1" type="noConversion"/>
  </si>
  <si>
    <t>拘押收教场所管理</t>
    <phoneticPr fontId="1" type="noConversion"/>
  </si>
  <si>
    <t>警犬繁育及训养</t>
    <phoneticPr fontId="1" type="noConversion"/>
  </si>
  <si>
    <t>信息化建设</t>
    <phoneticPr fontId="1" type="noConversion"/>
  </si>
  <si>
    <t>事业运行</t>
    <phoneticPr fontId="1" type="noConversion"/>
  </si>
  <si>
    <t>其他公安支出</t>
    <phoneticPr fontId="1" type="noConversion"/>
  </si>
  <si>
    <t>检察</t>
    <phoneticPr fontId="1" type="noConversion"/>
  </si>
  <si>
    <t>查办和预防职务犯罪</t>
    <phoneticPr fontId="1" type="noConversion"/>
  </si>
  <si>
    <t>公诉和审判监督</t>
    <phoneticPr fontId="1" type="noConversion"/>
  </si>
  <si>
    <t>侦查监督</t>
    <phoneticPr fontId="1" type="noConversion"/>
  </si>
  <si>
    <t>执行监督</t>
    <phoneticPr fontId="1" type="noConversion"/>
  </si>
  <si>
    <t>控告申诉</t>
    <phoneticPr fontId="1" type="noConversion"/>
  </si>
  <si>
    <t>“两房”建设</t>
    <phoneticPr fontId="1" type="noConversion"/>
  </si>
  <si>
    <t>事业运行</t>
    <phoneticPr fontId="1" type="noConversion"/>
  </si>
  <si>
    <t>其他检察支出</t>
    <phoneticPr fontId="1" type="noConversion"/>
  </si>
  <si>
    <t>法院</t>
    <phoneticPr fontId="1" type="noConversion"/>
  </si>
  <si>
    <t>案件审判</t>
    <phoneticPr fontId="1" type="noConversion"/>
  </si>
  <si>
    <t>案件执行</t>
    <phoneticPr fontId="1" type="noConversion"/>
  </si>
  <si>
    <t>“两庭”建设</t>
    <phoneticPr fontId="1" type="noConversion"/>
  </si>
  <si>
    <t>其他法院支出</t>
    <phoneticPr fontId="1" type="noConversion"/>
  </si>
  <si>
    <t>司法</t>
    <phoneticPr fontId="1" type="noConversion"/>
  </si>
  <si>
    <t>普法宣传</t>
    <phoneticPr fontId="1" type="noConversion"/>
  </si>
  <si>
    <t>律师公证管理</t>
    <phoneticPr fontId="1" type="noConversion"/>
  </si>
  <si>
    <t>法律援助</t>
    <phoneticPr fontId="1" type="noConversion"/>
  </si>
  <si>
    <t>司法统一考试</t>
    <phoneticPr fontId="1" type="noConversion"/>
  </si>
  <si>
    <t>仲裁</t>
    <phoneticPr fontId="1" type="noConversion"/>
  </si>
  <si>
    <t>其他司法支出</t>
    <phoneticPr fontId="1" type="noConversion"/>
  </si>
  <si>
    <t>其他公共安全支出（款）</t>
    <phoneticPr fontId="1" type="noConversion"/>
  </si>
  <si>
    <t>其中：其他公共安全支出（项）</t>
    <phoneticPr fontId="1" type="noConversion"/>
  </si>
  <si>
    <t>其他消防</t>
    <phoneticPr fontId="1" type="noConversion"/>
  </si>
  <si>
    <t>行政单位医疗补助</t>
    <phoneticPr fontId="1" type="noConversion"/>
  </si>
  <si>
    <t>其他水利支出</t>
    <phoneticPr fontId="1" type="noConversion"/>
  </si>
  <si>
    <t>对农村道路客运的补贴</t>
    <phoneticPr fontId="1" type="noConversion"/>
  </si>
  <si>
    <t>对出租车的补贴</t>
    <phoneticPr fontId="1" type="noConversion"/>
  </si>
  <si>
    <t>储备粮（油）库建设</t>
    <phoneticPr fontId="1" type="noConversion"/>
  </si>
  <si>
    <t>其他粮油储备支出</t>
    <phoneticPr fontId="1" type="noConversion"/>
  </si>
  <si>
    <t>重要商品储备</t>
    <phoneticPr fontId="1" type="noConversion"/>
  </si>
  <si>
    <t>其他重要商品储备支出</t>
    <phoneticPr fontId="1" type="noConversion"/>
  </si>
  <si>
    <t>本  级</t>
    <phoneticPr fontId="5" type="noConversion"/>
  </si>
  <si>
    <t>上解省级支出</t>
    <phoneticPr fontId="5" type="noConversion"/>
  </si>
  <si>
    <t>调整预算数</t>
    <phoneticPr fontId="1" type="noConversion"/>
  </si>
  <si>
    <t>本级</t>
    <phoneticPr fontId="1" type="noConversion"/>
  </si>
  <si>
    <t>本级</t>
    <phoneticPr fontId="1" type="noConversion"/>
  </si>
  <si>
    <t xml:space="preserve">   城乡社区支出</t>
    <phoneticPr fontId="1" type="noConversion"/>
  </si>
  <si>
    <t xml:space="preserve">      政府住房基金</t>
    <phoneticPr fontId="1" type="noConversion"/>
  </si>
  <si>
    <t xml:space="preserve">      国有土地使用权出让</t>
    <phoneticPr fontId="1" type="noConversion"/>
  </si>
  <si>
    <t xml:space="preserve">        彩票公益金</t>
    <phoneticPr fontId="1" type="noConversion"/>
  </si>
  <si>
    <t>决算数</t>
    <phoneticPr fontId="1" type="noConversion"/>
  </si>
  <si>
    <t>决算数为上年执行数的%</t>
    <phoneticPr fontId="1" type="noConversion"/>
  </si>
  <si>
    <t>社会保障缴费</t>
    <phoneticPr fontId="1" type="noConversion"/>
  </si>
  <si>
    <t>伙食费</t>
    <phoneticPr fontId="1" type="noConversion"/>
  </si>
  <si>
    <t>伙食补助费</t>
    <phoneticPr fontId="1" type="noConversion"/>
  </si>
  <si>
    <t>绩效工资</t>
    <phoneticPr fontId="1" type="noConversion"/>
  </si>
  <si>
    <t>其他工资福利支出</t>
    <phoneticPr fontId="1" type="noConversion"/>
  </si>
  <si>
    <t>印刷费</t>
    <phoneticPr fontId="1" type="noConversion"/>
  </si>
  <si>
    <t>咨询费</t>
    <phoneticPr fontId="1" type="noConversion"/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</si>
  <si>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</si>
  <si>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</si>
  <si>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</si>
  <si>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</si>
  <si>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</si>
  <si>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</si>
  <si>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</si>
  <si>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  <phoneticPr fontId="1" type="noConversion"/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</si>
  <si>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</si>
  <si>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</si>
  <si>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</si>
  <si>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</si>
  <si>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</si>
  <si>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</si>
  <si>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</si>
  <si>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</si>
  <si>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</si>
  <si>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</si>
  <si>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</si>
  <si>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</si>
  <si>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</si>
  <si>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</si>
  <si>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</si>
  <si>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办公费</t>
    <phoneticPr fontId="1" type="noConversion"/>
  </si>
  <si>
    <t>退职（役）费</t>
  </si>
  <si>
    <t>抚恤金</t>
  </si>
  <si>
    <t>生活补助</t>
  </si>
  <si>
    <t>救济费</t>
  </si>
  <si>
    <t>医疗费</t>
  </si>
  <si>
    <t>助学金</t>
  </si>
  <si>
    <t>奖励金</t>
  </si>
  <si>
    <t>生产补贴</t>
  </si>
  <si>
    <t>住房公积金</t>
  </si>
  <si>
    <t>上级补助收入</t>
    <phoneticPr fontId="5" type="noConversion"/>
  </si>
  <si>
    <t>上级补助支出</t>
    <phoneticPr fontId="5" type="noConversion"/>
  </si>
  <si>
    <t xml:space="preserve">    商业服务业等支出</t>
    <phoneticPr fontId="1" type="noConversion"/>
  </si>
  <si>
    <t xml:space="preserve">   商业服务业等支出</t>
    <phoneticPr fontId="1" type="noConversion"/>
  </si>
  <si>
    <t>附表1-5</t>
    <phoneticPr fontId="1" type="noConversion"/>
  </si>
  <si>
    <t>单位：万元</t>
    <phoneticPr fontId="5" type="noConversion"/>
  </si>
  <si>
    <t>地区</t>
    <phoneticPr fontId="5" type="noConversion"/>
  </si>
  <si>
    <t>税收返还</t>
    <phoneticPr fontId="5" type="noConversion"/>
  </si>
  <si>
    <t>一般性转移支付</t>
    <phoneticPr fontId="5" type="noConversion"/>
  </si>
  <si>
    <t>专项转移支付</t>
    <phoneticPr fontId="5" type="noConversion"/>
  </si>
  <si>
    <t>合计</t>
    <phoneticPr fontId="5" type="noConversion"/>
  </si>
  <si>
    <t xml:space="preserve"> 地市合计</t>
    <phoneticPr fontId="5" type="noConversion"/>
  </si>
  <si>
    <t>附表1-6</t>
    <phoneticPr fontId="1" type="noConversion"/>
  </si>
  <si>
    <t>项   目</t>
    <phoneticPr fontId="1" type="noConversion"/>
  </si>
  <si>
    <t>决算数</t>
    <phoneticPr fontId="1" type="noConversion"/>
  </si>
  <si>
    <t>专项转移支付</t>
    <phoneticPr fontId="1" type="noConversion"/>
  </si>
  <si>
    <t>玛曲县</t>
    <phoneticPr fontId="1" type="noConversion"/>
  </si>
  <si>
    <t xml:space="preserve">    其中：一般公共服务</t>
    <phoneticPr fontId="1" type="noConversion"/>
  </si>
  <si>
    <t xml:space="preserve">   国防</t>
    <phoneticPr fontId="1" type="noConversion"/>
  </si>
  <si>
    <t xml:space="preserve">   公共安全</t>
    <phoneticPr fontId="1" type="noConversion"/>
  </si>
  <si>
    <t xml:space="preserve">   教育</t>
    <phoneticPr fontId="1" type="noConversion"/>
  </si>
  <si>
    <t xml:space="preserve">   科学技术</t>
    <phoneticPr fontId="1" type="noConversion"/>
  </si>
  <si>
    <t xml:space="preserve">   文化体育与传媒</t>
    <phoneticPr fontId="1" type="noConversion"/>
  </si>
  <si>
    <t xml:space="preserve">   社会保障和就业</t>
    <phoneticPr fontId="1" type="noConversion"/>
  </si>
  <si>
    <t xml:space="preserve">   医疗卫生与计划生育</t>
    <phoneticPr fontId="1" type="noConversion"/>
  </si>
  <si>
    <t xml:space="preserve">   节能环保</t>
    <phoneticPr fontId="1" type="noConversion"/>
  </si>
  <si>
    <t xml:space="preserve">   城乡社区事务</t>
    <phoneticPr fontId="1" type="noConversion"/>
  </si>
  <si>
    <t xml:space="preserve">   农林水事务</t>
    <phoneticPr fontId="1" type="noConversion"/>
  </si>
  <si>
    <t xml:space="preserve">   交通运输</t>
    <phoneticPr fontId="1" type="noConversion"/>
  </si>
  <si>
    <t xml:space="preserve">   资源勘探信息等</t>
    <phoneticPr fontId="1" type="noConversion"/>
  </si>
  <si>
    <t xml:space="preserve">   商业服务业等</t>
    <phoneticPr fontId="1" type="noConversion"/>
  </si>
  <si>
    <t xml:space="preserve">   金融支出</t>
    <phoneticPr fontId="1" type="noConversion"/>
  </si>
  <si>
    <t xml:space="preserve">   援助其他地区</t>
    <phoneticPr fontId="1" type="noConversion"/>
  </si>
  <si>
    <t xml:space="preserve">   国土海洋气象等</t>
    <phoneticPr fontId="1" type="noConversion"/>
  </si>
  <si>
    <t xml:space="preserve">   住房保障支出</t>
    <phoneticPr fontId="1" type="noConversion"/>
  </si>
  <si>
    <t xml:space="preserve">   粮油物资储备</t>
    <phoneticPr fontId="1" type="noConversion"/>
  </si>
  <si>
    <t xml:space="preserve">   其他专项转移支付</t>
    <phoneticPr fontId="1" type="noConversion"/>
  </si>
  <si>
    <t>附表1-9</t>
    <phoneticPr fontId="1" type="noConversion"/>
  </si>
  <si>
    <t>附表1-10</t>
    <phoneticPr fontId="1" type="noConversion"/>
  </si>
  <si>
    <t>附表1-11</t>
    <phoneticPr fontId="1" type="noConversion"/>
  </si>
  <si>
    <t xml:space="preserve">    增值税“五五分享”税收收入返还收入</t>
    <phoneticPr fontId="5" type="noConversion"/>
  </si>
  <si>
    <t xml:space="preserve">     农业土地开发资金收入安排支出</t>
    <phoneticPr fontId="1" type="noConversion"/>
  </si>
  <si>
    <t>机关事业单位基本养老保险基金</t>
    <phoneticPr fontId="1" type="noConversion"/>
  </si>
  <si>
    <t>2017年决算数</t>
    <phoneticPr fontId="1" type="noConversion"/>
  </si>
  <si>
    <t>2018年度玛曲县本级一般公共预算收入决算表</t>
    <phoneticPr fontId="5" type="noConversion"/>
  </si>
  <si>
    <t>2018年度玛曲县本级一般公共预算收支决算平衡表</t>
    <phoneticPr fontId="1" type="noConversion"/>
  </si>
  <si>
    <t>2018年省对玛曲县税收返还和转移支付决算表</t>
    <phoneticPr fontId="5" type="noConversion"/>
  </si>
  <si>
    <t>2018年省对玛曲县专项转移支付决算表</t>
    <phoneticPr fontId="5" type="noConversion"/>
  </si>
  <si>
    <t xml:space="preserve">    ……</t>
    <phoneticPr fontId="1" type="noConversion"/>
  </si>
  <si>
    <t>2018年度玛曲县本级政府性基金收入决算表</t>
    <phoneticPr fontId="1" type="noConversion"/>
  </si>
  <si>
    <t>2018年度玛曲县本级政府性基金支出决算表</t>
    <phoneticPr fontId="1" type="noConversion"/>
  </si>
  <si>
    <t xml:space="preserve">   债务发行费用支出</t>
    <phoneticPr fontId="1" type="noConversion"/>
  </si>
  <si>
    <t>2018年度甘肃省本级国有资本经营收支决算表</t>
    <phoneticPr fontId="1" type="noConversion"/>
  </si>
  <si>
    <t>2018年玛曲县本级社会保险基金收支决算表</t>
    <phoneticPr fontId="1" type="noConversion"/>
  </si>
  <si>
    <t>2018年玛曲县本级地方政府债务余额情况表</t>
    <phoneticPr fontId="1" type="noConversion"/>
  </si>
  <si>
    <t>一、2017年末地方政府一般债务余额数</t>
    <phoneticPr fontId="1" type="noConversion"/>
  </si>
  <si>
    <t>二、2017年末地方政府一般债务余额限额</t>
    <phoneticPr fontId="5" type="noConversion"/>
  </si>
  <si>
    <t>三、2018年地方政府一般债务(转贷)收入</t>
    <phoneticPr fontId="5" type="noConversion"/>
  </si>
  <si>
    <t>四、2018年地方政府一般债务还本额</t>
    <phoneticPr fontId="1" type="noConversion"/>
  </si>
  <si>
    <t>五、2018年末地方政府一般债务余额</t>
    <phoneticPr fontId="1" type="noConversion"/>
  </si>
  <si>
    <t>2018年度玛曲县本级基本支出决算表</t>
    <phoneticPr fontId="1" type="noConversion"/>
  </si>
  <si>
    <t>2018年决算数</t>
    <phoneticPr fontId="1" type="noConversion"/>
  </si>
  <si>
    <t>2018年度玛曲县本级一般公共预算支出决算表</t>
    <phoneticPr fontId="28" type="noConversion"/>
  </si>
</sst>
</file>

<file path=xl/styles.xml><?xml version="1.0" encoding="utf-8"?>
<styleSheet xmlns="http://schemas.openxmlformats.org/spreadsheetml/2006/main">
  <numFmts count="7">
    <numFmt numFmtId="176" formatCode="0_);[Red]\(0\)"/>
    <numFmt numFmtId="177" formatCode="0_ "/>
    <numFmt numFmtId="178" formatCode="0_ ;[Red]\-0\ "/>
    <numFmt numFmtId="179" formatCode="#,##0.00_ "/>
    <numFmt numFmtId="180" formatCode="#,##0_ "/>
    <numFmt numFmtId="181" formatCode="#,##0.00_);[Red]\(#,##0.00\)"/>
    <numFmt numFmtId="182" formatCode="#,##0_);[Red]\(#,##0\)"/>
  </numFmts>
  <fonts count="5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22"/>
      <color indexed="8"/>
      <name val="宋体"/>
      <family val="3"/>
      <charset val="134"/>
    </font>
    <font>
      <sz val="12"/>
      <name val="宋体"/>
      <family val="3"/>
      <charset val="134"/>
    </font>
    <font>
      <sz val="22"/>
      <color indexed="8"/>
      <name val="Calibri"/>
      <family val="2"/>
    </font>
    <font>
      <sz val="12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Arial"/>
      <family val="2"/>
    </font>
    <font>
      <sz val="12"/>
      <color indexed="8"/>
      <name val="Arial"/>
      <family val="2"/>
    </font>
    <font>
      <sz val="12"/>
      <color indexed="8"/>
      <name val="宋体"/>
      <family val="3"/>
      <charset val="134"/>
      <scheme val="major"/>
    </font>
    <font>
      <b/>
      <sz val="18"/>
      <color indexed="8"/>
      <name val="宋体"/>
      <family val="3"/>
      <charset val="134"/>
    </font>
    <font>
      <sz val="12"/>
      <color indexed="8"/>
      <name val="Calibri"/>
      <family val="2"/>
    </font>
    <font>
      <b/>
      <sz val="12"/>
      <color indexed="8"/>
      <name val="宋体"/>
      <family val="3"/>
      <charset val="134"/>
      <scheme val="major"/>
    </font>
    <font>
      <sz val="9"/>
      <color indexed="8"/>
      <name val="宋体"/>
      <family val="3"/>
      <charset val="134"/>
      <scheme val="major"/>
    </font>
    <font>
      <b/>
      <sz val="9"/>
      <color indexed="8"/>
      <name val="宋体"/>
      <family val="3"/>
      <charset val="134"/>
      <scheme val="major"/>
    </font>
    <font>
      <sz val="9"/>
      <color indexed="8"/>
      <name val="宋体"/>
      <family val="3"/>
      <charset val="134"/>
      <scheme val="minor"/>
    </font>
    <font>
      <b/>
      <sz val="18"/>
      <color theme="1"/>
      <name val="宋体"/>
      <family val="3"/>
      <charset val="134"/>
    </font>
    <font>
      <sz val="11"/>
      <color theme="1"/>
      <name val="Calibri"/>
      <family val="2"/>
    </font>
    <font>
      <sz val="9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b/>
      <sz val="11"/>
      <color theme="1"/>
      <name val="Calibri"/>
      <family val="2"/>
    </font>
    <font>
      <sz val="10"/>
      <color theme="1"/>
      <name val="Arial"/>
      <family val="2"/>
    </font>
    <font>
      <b/>
      <sz val="18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indexed="8"/>
      <name val="黑体"/>
      <family val="3"/>
      <charset val="134"/>
    </font>
    <font>
      <sz val="9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b/>
      <sz val="12"/>
      <color theme="1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b/>
      <sz val="9"/>
      <color indexed="8"/>
      <name val="黑体"/>
      <family val="3"/>
      <charset val="134"/>
    </font>
    <font>
      <b/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0"/>
      <name val="Arial"/>
      <family val="2"/>
    </font>
    <font>
      <b/>
      <sz val="9"/>
      <color indexed="8"/>
      <name val="宋体"/>
      <family val="3"/>
      <charset val="134"/>
    </font>
    <font>
      <b/>
      <sz val="9"/>
      <color indexed="8"/>
      <name val="宋体"/>
      <family val="3"/>
      <charset val="134"/>
      <scheme val="minor"/>
    </font>
    <font>
      <b/>
      <sz val="12"/>
      <color indexed="8"/>
      <name val="Arial"/>
      <family val="2"/>
    </font>
    <font>
      <b/>
      <sz val="11"/>
      <color theme="1"/>
      <name val="宋体"/>
      <family val="2"/>
      <charset val="134"/>
      <scheme val="minor"/>
    </font>
    <font>
      <sz val="10"/>
      <color indexed="8"/>
      <name val="黑体"/>
      <family val="3"/>
      <charset val="134"/>
    </font>
    <font>
      <b/>
      <sz val="20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2">
    <border>
      <left/>
      <right/>
      <top/>
      <bottom/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auto="1"/>
      </top>
      <bottom/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64"/>
      </left>
      <right/>
      <top/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>
      <alignment vertical="center"/>
    </xf>
    <xf numFmtId="0" fontId="3" fillId="0" borderId="0"/>
    <xf numFmtId="0" fontId="6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8" fillId="0" borderId="0"/>
    <xf numFmtId="0" fontId="5" fillId="0" borderId="0"/>
    <xf numFmtId="0" fontId="8" fillId="0" borderId="0"/>
    <xf numFmtId="0" fontId="8" fillId="0" borderId="0">
      <alignment vertical="center"/>
    </xf>
    <xf numFmtId="0" fontId="8" fillId="0" borderId="0"/>
    <xf numFmtId="9" fontId="2" fillId="0" borderId="0" applyFont="0" applyFill="0" applyBorder="0" applyAlignment="0" applyProtection="0">
      <alignment vertical="center"/>
    </xf>
    <xf numFmtId="0" fontId="6" fillId="0" borderId="0"/>
  </cellStyleXfs>
  <cellXfs count="331">
    <xf numFmtId="0" fontId="0" fillId="0" borderId="0" xfId="0">
      <alignment vertical="center"/>
    </xf>
    <xf numFmtId="0" fontId="4" fillId="0" borderId="0" xfId="1" applyFont="1" applyBorder="1" applyAlignment="1" applyProtection="1"/>
    <xf numFmtId="0" fontId="3" fillId="0" borderId="0" xfId="1"/>
    <xf numFmtId="0" fontId="9" fillId="0" borderId="0" xfId="0" applyFont="1" applyBorder="1" applyAlignment="1" applyProtection="1"/>
    <xf numFmtId="0" fontId="4" fillId="0" borderId="0" xfId="0" applyFont="1" applyBorder="1" applyAlignment="1" applyProtection="1"/>
    <xf numFmtId="0" fontId="10" fillId="0" borderId="0" xfId="0" applyFont="1" applyBorder="1" applyAlignment="1" applyProtection="1">
      <alignment horizontal="right" vertical="center"/>
    </xf>
    <xf numFmtId="0" fontId="11" fillId="0" borderId="0" xfId="0" applyFont="1" applyBorder="1" applyAlignment="1" applyProtection="1"/>
    <xf numFmtId="0" fontId="12" fillId="0" borderId="0" xfId="0" applyFont="1" applyBorder="1" applyAlignment="1" applyProtection="1"/>
    <xf numFmtId="0" fontId="0" fillId="0" borderId="0" xfId="0" applyAlignment="1"/>
    <xf numFmtId="0" fontId="9" fillId="0" borderId="0" xfId="1" applyFont="1" applyBorder="1" applyAlignment="1" applyProtection="1"/>
    <xf numFmtId="0" fontId="11" fillId="0" borderId="0" xfId="1" applyFont="1" applyBorder="1" applyAlignment="1" applyProtection="1"/>
    <xf numFmtId="0" fontId="12" fillId="0" borderId="0" xfId="1" applyFont="1" applyBorder="1" applyAlignment="1" applyProtection="1"/>
    <xf numFmtId="0" fontId="3" fillId="0" borderId="0" xfId="1" applyAlignment="1"/>
    <xf numFmtId="0" fontId="7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/>
    <xf numFmtId="178" fontId="13" fillId="0" borderId="0" xfId="0" applyNumberFormat="1" applyFont="1" applyBorder="1" applyAlignment="1" applyProtection="1">
      <alignment horizontal="right" vertical="center"/>
    </xf>
    <xf numFmtId="178" fontId="16" fillId="0" borderId="0" xfId="0" applyNumberFormat="1" applyFont="1" applyBorder="1" applyAlignment="1" applyProtection="1"/>
    <xf numFmtId="0" fontId="16" fillId="0" borderId="0" xfId="0" applyFont="1" applyBorder="1" applyAlignment="1" applyProtection="1">
      <alignment vertical="center" wrapText="1"/>
    </xf>
    <xf numFmtId="0" fontId="13" fillId="0" borderId="0" xfId="0" applyFont="1" applyBorder="1" applyAlignment="1" applyProtection="1"/>
    <xf numFmtId="0" fontId="14" fillId="0" borderId="0" xfId="0" applyFont="1" applyBorder="1" applyAlignment="1" applyProtection="1"/>
    <xf numFmtId="0" fontId="17" fillId="0" borderId="0" xfId="0" applyFont="1" applyBorder="1" applyAlignment="1" applyProtection="1"/>
    <xf numFmtId="0" fontId="4" fillId="0" borderId="0" xfId="0" applyFont="1" applyBorder="1" applyAlignment="1" applyProtection="1">
      <alignment horizontal="right"/>
    </xf>
    <xf numFmtId="0" fontId="18" fillId="0" borderId="0" xfId="0" applyFont="1" applyBorder="1" applyAlignment="1" applyProtection="1"/>
    <xf numFmtId="0" fontId="18" fillId="0" borderId="0" xfId="0" applyFont="1" applyBorder="1" applyAlignment="1" applyProtection="1">
      <alignment horizontal="right" vertical="center"/>
    </xf>
    <xf numFmtId="0" fontId="18" fillId="0" borderId="1" xfId="0" applyFont="1" applyBorder="1" applyAlignment="1" applyProtection="1">
      <alignment horizontal="center" vertical="center"/>
    </xf>
    <xf numFmtId="0" fontId="18" fillId="0" borderId="2" xfId="0" applyFont="1" applyBorder="1" applyAlignment="1" applyProtection="1">
      <alignment horizontal="center" vertical="center" wrapText="1"/>
    </xf>
    <xf numFmtId="0" fontId="18" fillId="0" borderId="3" xfId="0" applyFont="1" applyBorder="1" applyAlignment="1" applyProtection="1">
      <alignment horizontal="center" vertical="center" wrapText="1"/>
    </xf>
    <xf numFmtId="0" fontId="18" fillId="0" borderId="5" xfId="0" applyFont="1" applyBorder="1" applyAlignment="1" applyProtection="1">
      <alignment vertical="center"/>
    </xf>
    <xf numFmtId="176" fontId="18" fillId="0" borderId="6" xfId="0" applyNumberFormat="1" applyFont="1" applyBorder="1" applyAlignment="1" applyProtection="1">
      <alignment horizontal="right" vertical="center"/>
    </xf>
    <xf numFmtId="177" fontId="18" fillId="0" borderId="6" xfId="0" applyNumberFormat="1" applyFont="1" applyBorder="1" applyAlignment="1" applyProtection="1">
      <alignment horizontal="right" vertical="center"/>
    </xf>
    <xf numFmtId="176" fontId="19" fillId="0" borderId="6" xfId="0" applyNumberFormat="1" applyFont="1" applyBorder="1" applyAlignment="1" applyProtection="1">
      <alignment horizontal="right" vertical="center"/>
    </xf>
    <xf numFmtId="0" fontId="11" fillId="0" borderId="16" xfId="1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right" vertical="center"/>
    </xf>
    <xf numFmtId="0" fontId="20" fillId="0" borderId="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178" fontId="20" fillId="0" borderId="4" xfId="0" applyNumberFormat="1" applyFont="1" applyBorder="1" applyAlignment="1" applyProtection="1">
      <alignment horizontal="right" vertical="center"/>
    </xf>
    <xf numFmtId="0" fontId="20" fillId="0" borderId="19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right"/>
    </xf>
    <xf numFmtId="178" fontId="18" fillId="0" borderId="5" xfId="0" applyNumberFormat="1" applyFont="1" applyBorder="1" applyAlignment="1" applyProtection="1">
      <alignment horizontal="right" vertical="center"/>
    </xf>
    <xf numFmtId="178" fontId="18" fillId="0" borderId="6" xfId="0" applyNumberFormat="1" applyFont="1" applyBorder="1" applyAlignment="1" applyProtection="1">
      <alignment horizontal="right" vertical="center"/>
    </xf>
    <xf numFmtId="178" fontId="18" fillId="0" borderId="4" xfId="0" applyNumberFormat="1" applyFont="1" applyBorder="1" applyAlignment="1" applyProtection="1">
      <alignment horizontal="right" vertical="center"/>
    </xf>
    <xf numFmtId="178" fontId="18" fillId="0" borderId="8" xfId="0" applyNumberFormat="1" applyFont="1" applyBorder="1" applyAlignment="1" applyProtection="1">
      <alignment horizontal="right" vertical="center"/>
    </xf>
    <xf numFmtId="178" fontId="11" fillId="0" borderId="4" xfId="0" applyNumberFormat="1" applyFont="1" applyBorder="1" applyAlignment="1" applyProtection="1">
      <alignment horizontal="right" vertical="center"/>
    </xf>
    <xf numFmtId="0" fontId="22" fillId="0" borderId="0" xfId="1" applyFont="1" applyFill="1" applyBorder="1" applyAlignment="1" applyProtection="1"/>
    <xf numFmtId="0" fontId="24" fillId="0" borderId="0" xfId="1" applyFont="1" applyFill="1" applyBorder="1" applyAlignment="1" applyProtection="1">
      <alignment horizontal="right" vertical="center"/>
    </xf>
    <xf numFmtId="0" fontId="25" fillId="0" borderId="0" xfId="1" applyFont="1" applyFill="1" applyBorder="1" applyAlignment="1" applyProtection="1"/>
    <xf numFmtId="179" fontId="25" fillId="0" borderId="0" xfId="1" applyNumberFormat="1" applyFont="1" applyFill="1" applyBorder="1" applyAlignment="1" applyProtection="1"/>
    <xf numFmtId="0" fontId="26" fillId="0" borderId="0" xfId="1" applyFont="1" applyFill="1"/>
    <xf numFmtId="0" fontId="18" fillId="0" borderId="28" xfId="0" applyFont="1" applyBorder="1" applyAlignment="1" applyProtection="1">
      <alignment vertical="center"/>
    </xf>
    <xf numFmtId="0" fontId="30" fillId="0" borderId="5" xfId="0" applyFont="1" applyBorder="1" applyAlignment="1" applyProtection="1">
      <alignment vertical="center"/>
    </xf>
    <xf numFmtId="0" fontId="23" fillId="0" borderId="33" xfId="1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20" fillId="0" borderId="2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/>
    </xf>
    <xf numFmtId="177" fontId="31" fillId="0" borderId="22" xfId="1" applyNumberFormat="1" applyFont="1" applyFill="1" applyBorder="1" applyAlignment="1" applyProtection="1">
      <alignment horizontal="right" vertical="center"/>
    </xf>
    <xf numFmtId="177" fontId="31" fillId="0" borderId="25" xfId="1" applyNumberFormat="1" applyFont="1" applyFill="1" applyBorder="1" applyAlignment="1" applyProtection="1">
      <alignment horizontal="right" vertical="center"/>
    </xf>
    <xf numFmtId="177" fontId="31" fillId="0" borderId="35" xfId="1" applyNumberFormat="1" applyFont="1" applyFill="1" applyBorder="1" applyAlignment="1" applyProtection="1">
      <alignment horizontal="right" vertical="center"/>
    </xf>
    <xf numFmtId="177" fontId="31" fillId="0" borderId="36" xfId="1" applyNumberFormat="1" applyFont="1" applyFill="1" applyBorder="1" applyAlignment="1" applyProtection="1">
      <alignment horizontal="right" vertical="center"/>
    </xf>
    <xf numFmtId="0" fontId="30" fillId="0" borderId="5" xfId="0" applyFont="1" applyBorder="1" applyAlignment="1" applyProtection="1">
      <alignment horizontal="left" vertical="center"/>
    </xf>
    <xf numFmtId="178" fontId="11" fillId="0" borderId="13" xfId="0" applyNumberFormat="1" applyFont="1" applyBorder="1" applyAlignment="1" applyProtection="1">
      <alignment horizontal="right" vertical="center"/>
    </xf>
    <xf numFmtId="0" fontId="30" fillId="0" borderId="12" xfId="0" applyFont="1" applyBorder="1" applyAlignment="1" applyProtection="1">
      <alignment vertical="center"/>
    </xf>
    <xf numFmtId="0" fontId="11" fillId="0" borderId="5" xfId="1" applyFont="1" applyBorder="1" applyAlignment="1" applyProtection="1">
      <alignment horizontal="left" vertical="center" indent="1"/>
    </xf>
    <xf numFmtId="177" fontId="31" fillId="0" borderId="42" xfId="1" applyNumberFormat="1" applyFont="1" applyFill="1" applyBorder="1" applyAlignment="1" applyProtection="1">
      <alignment horizontal="right" vertical="center"/>
    </xf>
    <xf numFmtId="0" fontId="0" fillId="0" borderId="0" xfId="0" applyBorder="1" applyAlignment="1"/>
    <xf numFmtId="0" fontId="26" fillId="0" borderId="0" xfId="1" applyFont="1" applyFill="1" applyBorder="1"/>
    <xf numFmtId="178" fontId="20" fillId="0" borderId="37" xfId="0" applyNumberFormat="1" applyFont="1" applyBorder="1" applyAlignment="1" applyProtection="1">
      <alignment horizontal="right" vertical="center"/>
    </xf>
    <xf numFmtId="0" fontId="20" fillId="0" borderId="43" xfId="0" applyFont="1" applyBorder="1" applyAlignment="1" applyProtection="1">
      <alignment vertical="center"/>
    </xf>
    <xf numFmtId="178" fontId="20" fillId="0" borderId="44" xfId="0" applyNumberFormat="1" applyFont="1" applyBorder="1" applyAlignment="1" applyProtection="1">
      <alignment horizontal="right" vertical="center"/>
    </xf>
    <xf numFmtId="178" fontId="18" fillId="0" borderId="28" xfId="0" applyNumberFormat="1" applyFont="1" applyBorder="1" applyAlignment="1" applyProtection="1">
      <alignment horizontal="right" vertical="center"/>
    </xf>
    <xf numFmtId="178" fontId="18" fillId="0" borderId="39" xfId="0" applyNumberFormat="1" applyFont="1" applyBorder="1" applyAlignment="1" applyProtection="1">
      <alignment horizontal="right" vertical="center"/>
    </xf>
    <xf numFmtId="178" fontId="18" fillId="0" borderId="37" xfId="0" applyNumberFormat="1" applyFont="1" applyBorder="1" applyAlignment="1" applyProtection="1">
      <alignment horizontal="right" vertical="center"/>
    </xf>
    <xf numFmtId="0" fontId="18" fillId="0" borderId="43" xfId="0" applyFont="1" applyBorder="1" applyAlignment="1" applyProtection="1">
      <alignment vertical="center"/>
    </xf>
    <xf numFmtId="178" fontId="18" fillId="0" borderId="43" xfId="0" applyNumberFormat="1" applyFont="1" applyBorder="1" applyAlignment="1" applyProtection="1">
      <alignment horizontal="right" vertical="center"/>
    </xf>
    <xf numFmtId="178" fontId="18" fillId="0" borderId="46" xfId="0" applyNumberFormat="1" applyFont="1" applyBorder="1" applyAlignment="1" applyProtection="1">
      <alignment horizontal="right" vertical="center"/>
    </xf>
    <xf numFmtId="178" fontId="18" fillId="0" borderId="44" xfId="0" applyNumberFormat="1" applyFont="1" applyBorder="1" applyAlignment="1" applyProtection="1">
      <alignment horizontal="right" vertical="center"/>
    </xf>
    <xf numFmtId="0" fontId="30" fillId="0" borderId="40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vertical="center"/>
    </xf>
    <xf numFmtId="0" fontId="18" fillId="0" borderId="19" xfId="0" applyFont="1" applyBorder="1" applyAlignment="1" applyProtection="1">
      <alignment horizontal="left" vertical="center"/>
    </xf>
    <xf numFmtId="0" fontId="11" fillId="0" borderId="19" xfId="0" applyFont="1" applyBorder="1" applyAlignment="1" applyProtection="1">
      <alignment vertical="center"/>
    </xf>
    <xf numFmtId="178" fontId="11" fillId="0" borderId="44" xfId="0" applyNumberFormat="1" applyFont="1" applyBorder="1" applyAlignment="1" applyProtection="1">
      <alignment horizontal="right" vertical="center"/>
    </xf>
    <xf numFmtId="178" fontId="11" fillId="0" borderId="37" xfId="0" applyNumberFormat="1" applyFont="1" applyBorder="1" applyAlignment="1" applyProtection="1">
      <alignment horizontal="right" vertical="center"/>
    </xf>
    <xf numFmtId="0" fontId="30" fillId="0" borderId="28" xfId="0" applyFont="1" applyBorder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 indent="1"/>
    </xf>
    <xf numFmtId="0" fontId="11" fillId="0" borderId="5" xfId="0" applyFont="1" applyBorder="1" applyAlignment="1" applyProtection="1">
      <alignment horizontal="left" vertical="center" indent="2"/>
    </xf>
    <xf numFmtId="0" fontId="11" fillId="0" borderId="28" xfId="0" applyFont="1" applyBorder="1" applyAlignment="1" applyProtection="1">
      <alignment horizontal="left" vertical="center" indent="1"/>
    </xf>
    <xf numFmtId="0" fontId="11" fillId="0" borderId="43" xfId="0" applyFont="1" applyBorder="1" applyAlignment="1" applyProtection="1">
      <alignment horizontal="left" vertical="center" indent="1"/>
    </xf>
    <xf numFmtId="0" fontId="18" fillId="0" borderId="5" xfId="0" applyFont="1" applyBorder="1" applyAlignment="1" applyProtection="1">
      <alignment horizontal="left" vertical="center" indent="1"/>
    </xf>
    <xf numFmtId="0" fontId="18" fillId="0" borderId="5" xfId="0" applyFont="1" applyBorder="1" applyAlignment="1" applyProtection="1">
      <alignment horizontal="left" vertical="center" indent="2"/>
    </xf>
    <xf numFmtId="0" fontId="18" fillId="0" borderId="28" xfId="0" applyFont="1" applyBorder="1" applyAlignment="1" applyProtection="1">
      <alignment horizontal="left" vertical="center" indent="2"/>
    </xf>
    <xf numFmtId="0" fontId="30" fillId="0" borderId="28" xfId="0" applyFont="1" applyBorder="1" applyAlignment="1" applyProtection="1">
      <alignment horizontal="left" vertical="center" indent="1"/>
    </xf>
    <xf numFmtId="0" fontId="18" fillId="0" borderId="7" xfId="0" applyFont="1" applyBorder="1" applyAlignment="1" applyProtection="1">
      <alignment horizontal="left" vertical="center" indent="1"/>
    </xf>
    <xf numFmtId="0" fontId="30" fillId="0" borderId="43" xfId="0" applyFont="1" applyBorder="1" applyAlignment="1" applyProtection="1">
      <alignment horizontal="center" vertical="center"/>
    </xf>
    <xf numFmtId="0" fontId="30" fillId="0" borderId="48" xfId="0" applyFont="1" applyBorder="1" applyAlignment="1" applyProtection="1">
      <alignment vertical="center"/>
    </xf>
    <xf numFmtId="0" fontId="30" fillId="0" borderId="50" xfId="0" applyFont="1" applyBorder="1" applyAlignment="1" applyProtection="1">
      <alignment vertical="center"/>
    </xf>
    <xf numFmtId="0" fontId="11" fillId="0" borderId="50" xfId="0" applyFont="1" applyBorder="1" applyAlignment="1" applyProtection="1">
      <alignment vertical="center"/>
    </xf>
    <xf numFmtId="0" fontId="11" fillId="0" borderId="26" xfId="0" applyFont="1" applyBorder="1" applyAlignment="1" applyProtection="1">
      <alignment vertical="center"/>
    </xf>
    <xf numFmtId="0" fontId="18" fillId="0" borderId="50" xfId="0" applyFont="1" applyBorder="1" applyAlignment="1" applyProtection="1">
      <alignment vertical="center"/>
    </xf>
    <xf numFmtId="0" fontId="18" fillId="0" borderId="26" xfId="0" applyFont="1" applyBorder="1" applyAlignment="1" applyProtection="1">
      <alignment horizontal="left" vertical="center"/>
    </xf>
    <xf numFmtId="0" fontId="16" fillId="0" borderId="50" xfId="0" applyFont="1" applyBorder="1" applyAlignment="1" applyProtection="1"/>
    <xf numFmtId="0" fontId="16" fillId="0" borderId="26" xfId="0" applyFont="1" applyBorder="1" applyAlignment="1" applyProtection="1"/>
    <xf numFmtId="0" fontId="12" fillId="0" borderId="50" xfId="0" applyFont="1" applyBorder="1" applyAlignment="1" applyProtection="1"/>
    <xf numFmtId="0" fontId="12" fillId="0" borderId="26" xfId="0" applyFont="1" applyBorder="1" applyAlignment="1" applyProtection="1"/>
    <xf numFmtId="0" fontId="31" fillId="0" borderId="33" xfId="1" applyFont="1" applyFill="1" applyBorder="1" applyAlignment="1" applyProtection="1">
      <alignment vertical="center"/>
    </xf>
    <xf numFmtId="0" fontId="34" fillId="0" borderId="0" xfId="0" applyNumberFormat="1" applyFont="1" applyFill="1" applyBorder="1" applyAlignment="1" applyProtection="1">
      <alignment vertical="center" wrapText="1"/>
    </xf>
    <xf numFmtId="0" fontId="35" fillId="0" borderId="33" xfId="0" applyNumberFormat="1" applyFont="1" applyFill="1" applyBorder="1" applyAlignment="1" applyProtection="1">
      <alignment vertical="center" wrapText="1"/>
    </xf>
    <xf numFmtId="0" fontId="35" fillId="0" borderId="50" xfId="0" applyNumberFormat="1" applyFont="1" applyFill="1" applyBorder="1" applyAlignment="1" applyProtection="1">
      <alignment vertical="center" wrapText="1"/>
    </xf>
    <xf numFmtId="0" fontId="34" fillId="0" borderId="35" xfId="0" applyNumberFormat="1" applyFont="1" applyFill="1" applyBorder="1" applyAlignment="1" applyProtection="1">
      <alignment vertical="center" wrapText="1"/>
    </xf>
    <xf numFmtId="0" fontId="35" fillId="0" borderId="35" xfId="0" applyNumberFormat="1" applyFont="1" applyFill="1" applyBorder="1" applyAlignment="1" applyProtection="1">
      <alignment vertical="center" wrapText="1"/>
    </xf>
    <xf numFmtId="0" fontId="22" fillId="0" borderId="19" xfId="1" applyFont="1" applyFill="1" applyBorder="1" applyAlignment="1" applyProtection="1"/>
    <xf numFmtId="0" fontId="24" fillId="0" borderId="19" xfId="1" applyFont="1" applyFill="1" applyBorder="1" applyAlignment="1" applyProtection="1">
      <alignment horizontal="right" vertical="center"/>
    </xf>
    <xf numFmtId="1" fontId="34" fillId="0" borderId="35" xfId="0" applyNumberFormat="1" applyFont="1" applyFill="1" applyBorder="1" applyAlignment="1" applyProtection="1">
      <alignment vertical="center" wrapText="1"/>
    </xf>
    <xf numFmtId="0" fontId="32" fillId="0" borderId="51" xfId="0" applyNumberFormat="1" applyFont="1" applyFill="1" applyBorder="1" applyAlignment="1" applyProtection="1">
      <alignment horizontal="center" vertical="center" wrapText="1"/>
    </xf>
    <xf numFmtId="0" fontId="32" fillId="0" borderId="52" xfId="0" applyNumberFormat="1" applyFont="1" applyFill="1" applyBorder="1" applyAlignment="1">
      <alignment horizontal="center" vertical="center" wrapText="1"/>
    </xf>
    <xf numFmtId="0" fontId="33" fillId="0" borderId="53" xfId="0" applyNumberFormat="1" applyFont="1" applyFill="1" applyBorder="1" applyAlignment="1">
      <alignment horizontal="center" vertical="center" wrapText="1"/>
    </xf>
    <xf numFmtId="0" fontId="33" fillId="0" borderId="51" xfId="0" applyNumberFormat="1" applyFont="1" applyFill="1" applyBorder="1" applyAlignment="1" applyProtection="1">
      <alignment horizontal="center" vertical="center" wrapText="1"/>
    </xf>
    <xf numFmtId="0" fontId="33" fillId="0" borderId="54" xfId="0" applyNumberFormat="1" applyFont="1" applyFill="1" applyBorder="1" applyAlignment="1">
      <alignment horizontal="center" vertical="center" wrapText="1"/>
    </xf>
    <xf numFmtId="0" fontId="32" fillId="0" borderId="19" xfId="0" applyNumberFormat="1" applyFont="1" applyFill="1" applyBorder="1" applyAlignment="1" applyProtection="1">
      <alignment horizontal="center" vertical="center" wrapText="1"/>
    </xf>
    <xf numFmtId="1" fontId="32" fillId="0" borderId="25" xfId="0" applyNumberFormat="1" applyFont="1" applyFill="1" applyBorder="1" applyAlignment="1" applyProtection="1">
      <alignment vertical="center" wrapText="1"/>
    </xf>
    <xf numFmtId="1" fontId="33" fillId="0" borderId="24" xfId="0" applyNumberFormat="1" applyFont="1" applyFill="1" applyBorder="1" applyAlignment="1" applyProtection="1">
      <alignment vertical="center" wrapText="1"/>
    </xf>
    <xf numFmtId="0" fontId="33" fillId="0" borderId="42" xfId="0" applyNumberFormat="1" applyFont="1" applyFill="1" applyBorder="1" applyAlignment="1" applyProtection="1">
      <alignment vertical="center" wrapText="1"/>
    </xf>
    <xf numFmtId="0" fontId="34" fillId="0" borderId="19" xfId="0" applyNumberFormat="1" applyFont="1" applyFill="1" applyBorder="1" applyAlignment="1" applyProtection="1">
      <alignment vertical="center" wrapText="1"/>
    </xf>
    <xf numFmtId="0" fontId="34" fillId="0" borderId="25" xfId="0" applyNumberFormat="1" applyFont="1" applyFill="1" applyBorder="1" applyAlignment="1" applyProtection="1">
      <alignment vertical="center" wrapText="1"/>
    </xf>
    <xf numFmtId="0" fontId="35" fillId="0" borderId="42" xfId="0" applyNumberFormat="1" applyFont="1" applyFill="1" applyBorder="1" applyAlignment="1" applyProtection="1">
      <alignment vertical="center" wrapText="1"/>
    </xf>
    <xf numFmtId="0" fontId="11" fillId="0" borderId="55" xfId="1" applyFont="1" applyBorder="1" applyAlignment="1" applyProtection="1">
      <alignment horizontal="center" vertical="center"/>
    </xf>
    <xf numFmtId="0" fontId="11" fillId="0" borderId="56" xfId="1" applyFont="1" applyBorder="1" applyAlignment="1" applyProtection="1">
      <alignment horizontal="center" vertical="center"/>
    </xf>
    <xf numFmtId="0" fontId="32" fillId="0" borderId="53" xfId="0" applyNumberFormat="1" applyFont="1" applyFill="1" applyBorder="1" applyAlignment="1">
      <alignment horizontal="center" vertical="center" wrapText="1"/>
    </xf>
    <xf numFmtId="1" fontId="34" fillId="0" borderId="33" xfId="0" applyNumberFormat="1" applyFont="1" applyFill="1" applyBorder="1" applyAlignment="1" applyProtection="1">
      <alignment vertical="center" wrapText="1"/>
    </xf>
    <xf numFmtId="0" fontId="34" fillId="0" borderId="33" xfId="0" applyNumberFormat="1" applyFont="1" applyFill="1" applyBorder="1" applyAlignment="1" applyProtection="1">
      <alignment vertical="center" wrapText="1"/>
    </xf>
    <xf numFmtId="1" fontId="32" fillId="0" borderId="24" xfId="0" applyNumberFormat="1" applyFont="1" applyFill="1" applyBorder="1" applyAlignment="1" applyProtection="1">
      <alignment vertical="center" wrapText="1"/>
    </xf>
    <xf numFmtId="0" fontId="34" fillId="0" borderId="24" xfId="0" applyNumberFormat="1" applyFont="1" applyFill="1" applyBorder="1" applyAlignment="1" applyProtection="1">
      <alignment vertical="center" wrapText="1"/>
    </xf>
    <xf numFmtId="0" fontId="35" fillId="0" borderId="24" xfId="0" applyNumberFormat="1" applyFont="1" applyFill="1" applyBorder="1" applyAlignment="1" applyProtection="1">
      <alignment vertical="center" wrapText="1"/>
    </xf>
    <xf numFmtId="0" fontId="33" fillId="0" borderId="51" xfId="0" applyNumberFormat="1" applyFont="1" applyFill="1" applyBorder="1" applyAlignment="1">
      <alignment horizontal="center" vertical="center" wrapText="1"/>
    </xf>
    <xf numFmtId="0" fontId="11" fillId="0" borderId="19" xfId="0" applyFont="1" applyBorder="1" applyAlignment="1" applyProtection="1">
      <alignment horizontal="left" vertical="center" indent="2"/>
    </xf>
    <xf numFmtId="0" fontId="11" fillId="0" borderId="42" xfId="0" applyFont="1" applyBorder="1" applyAlignment="1" applyProtection="1">
      <alignment vertical="center"/>
    </xf>
    <xf numFmtId="0" fontId="16" fillId="0" borderId="42" xfId="0" applyFont="1" applyBorder="1" applyAlignment="1" applyProtection="1"/>
    <xf numFmtId="0" fontId="18" fillId="0" borderId="43" xfId="0" applyFont="1" applyBorder="1" applyAlignment="1" applyProtection="1">
      <alignment horizontal="left" vertical="center" indent="2"/>
    </xf>
    <xf numFmtId="0" fontId="18" fillId="0" borderId="19" xfId="0" applyFont="1" applyBorder="1" applyAlignment="1" applyProtection="1">
      <alignment vertical="center"/>
    </xf>
    <xf numFmtId="0" fontId="18" fillId="0" borderId="42" xfId="0" applyFont="1" applyBorder="1" applyAlignment="1" applyProtection="1">
      <alignment vertical="center"/>
    </xf>
    <xf numFmtId="0" fontId="12" fillId="0" borderId="42" xfId="0" applyFont="1" applyBorder="1" applyAlignment="1" applyProtection="1"/>
    <xf numFmtId="0" fontId="11" fillId="0" borderId="25" xfId="0" applyFont="1" applyBorder="1" applyAlignment="1" applyProtection="1">
      <alignment vertical="center"/>
    </xf>
    <xf numFmtId="177" fontId="31" fillId="0" borderId="50" xfId="1" applyNumberFormat="1" applyFont="1" applyFill="1" applyBorder="1" applyAlignment="1" applyProtection="1">
      <alignment horizontal="right" vertical="center"/>
    </xf>
    <xf numFmtId="0" fontId="31" fillId="0" borderId="33" xfId="1" applyFont="1" applyFill="1" applyBorder="1" applyAlignment="1" applyProtection="1">
      <alignment horizontal="left" vertical="center" indent="1"/>
    </xf>
    <xf numFmtId="0" fontId="31" fillId="0" borderId="24" xfId="1" applyFont="1" applyFill="1" applyBorder="1" applyAlignment="1" applyProtection="1">
      <alignment horizontal="left" vertical="center" indent="1"/>
    </xf>
    <xf numFmtId="0" fontId="31" fillId="0" borderId="33" xfId="1" applyFont="1" applyFill="1" applyBorder="1" applyAlignment="1" applyProtection="1">
      <alignment horizontal="left" vertical="center"/>
    </xf>
    <xf numFmtId="0" fontId="32" fillId="0" borderId="19" xfId="0" applyNumberFormat="1" applyFont="1" applyFill="1" applyBorder="1" applyAlignment="1" applyProtection="1">
      <alignment horizontal="center" vertical="center" wrapText="1"/>
    </xf>
    <xf numFmtId="0" fontId="36" fillId="0" borderId="5" xfId="0" applyFont="1" applyBorder="1" applyAlignment="1" applyProtection="1">
      <alignment vertical="center"/>
    </xf>
    <xf numFmtId="0" fontId="37" fillId="0" borderId="0" xfId="0" applyFont="1" applyBorder="1" applyAlignment="1" applyProtection="1"/>
    <xf numFmtId="0" fontId="38" fillId="0" borderId="0" xfId="0" applyFont="1" applyBorder="1" applyAlignment="1" applyProtection="1"/>
    <xf numFmtId="176" fontId="18" fillId="0" borderId="39" xfId="0" applyNumberFormat="1" applyFont="1" applyBorder="1" applyAlignment="1" applyProtection="1">
      <alignment horizontal="right" vertical="center"/>
    </xf>
    <xf numFmtId="0" fontId="36" fillId="0" borderId="31" xfId="0" applyFont="1" applyBorder="1" applyAlignment="1" applyProtection="1">
      <alignment horizontal="center" vertical="center"/>
    </xf>
    <xf numFmtId="176" fontId="19" fillId="0" borderId="32" xfId="0" applyNumberFormat="1" applyFont="1" applyBorder="1" applyAlignment="1" applyProtection="1">
      <alignment horizontal="right" vertical="center"/>
    </xf>
    <xf numFmtId="9" fontId="4" fillId="0" borderId="0" xfId="9" applyFont="1" applyBorder="1" applyAlignment="1" applyProtection="1"/>
    <xf numFmtId="9" fontId="18" fillId="0" borderId="0" xfId="9" applyFont="1" applyBorder="1" applyAlignment="1" applyProtection="1"/>
    <xf numFmtId="9" fontId="18" fillId="0" borderId="3" xfId="9" applyFont="1" applyBorder="1" applyAlignment="1" applyProtection="1">
      <alignment horizontal="center" vertical="center" wrapText="1"/>
    </xf>
    <xf numFmtId="9" fontId="19" fillId="0" borderId="37" xfId="9" applyFont="1" applyBorder="1" applyAlignment="1" applyProtection="1">
      <alignment horizontal="right" vertical="center"/>
    </xf>
    <xf numFmtId="9" fontId="18" fillId="0" borderId="37" xfId="9" applyFont="1" applyBorder="1" applyAlignment="1" applyProtection="1">
      <alignment horizontal="right" vertical="center"/>
    </xf>
    <xf numFmtId="9" fontId="19" fillId="0" borderId="34" xfId="9" applyFont="1" applyBorder="1" applyAlignment="1" applyProtection="1">
      <alignment horizontal="right" vertical="center"/>
    </xf>
    <xf numFmtId="9" fontId="18" fillId="0" borderId="60" xfId="9" applyFont="1" applyBorder="1" applyAlignment="1" applyProtection="1">
      <alignment horizontal="right" vertical="center"/>
    </xf>
    <xf numFmtId="9" fontId="19" fillId="0" borderId="4" xfId="9" applyFont="1" applyBorder="1" applyAlignment="1" applyProtection="1">
      <alignment horizontal="right" vertical="center"/>
    </xf>
    <xf numFmtId="9" fontId="18" fillId="0" borderId="4" xfId="9" applyFont="1" applyBorder="1" applyAlignment="1" applyProtection="1">
      <alignment horizontal="right" vertical="center"/>
    </xf>
    <xf numFmtId="0" fontId="0" fillId="0" borderId="58" xfId="0" applyFont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39" fillId="0" borderId="33" xfId="0" applyFont="1" applyBorder="1">
      <alignment vertical="center"/>
    </xf>
    <xf numFmtId="3" fontId="34" fillId="0" borderId="62" xfId="0" applyNumberFormat="1" applyFont="1" applyFill="1" applyBorder="1" applyAlignment="1" applyProtection="1">
      <alignment horizontal="right" vertical="center"/>
    </xf>
    <xf numFmtId="0" fontId="0" fillId="0" borderId="0" xfId="0" applyBorder="1" applyAlignment="1">
      <alignment horizontal="left" vertical="center" indent="1"/>
    </xf>
    <xf numFmtId="3" fontId="34" fillId="0" borderId="63" xfId="0" applyNumberFormat="1" applyFont="1" applyFill="1" applyBorder="1" applyAlignment="1" applyProtection="1">
      <alignment horizontal="right" vertical="center"/>
    </xf>
    <xf numFmtId="0" fontId="0" fillId="0" borderId="0" xfId="0" applyBorder="1" applyAlignment="1">
      <alignment horizontal="left" vertical="center" indent="2"/>
    </xf>
    <xf numFmtId="0" fontId="6" fillId="0" borderId="63" xfId="0" applyFont="1" applyFill="1" applyBorder="1" applyAlignment="1"/>
    <xf numFmtId="0" fontId="0" fillId="0" borderId="0" xfId="0" applyBorder="1" applyAlignment="1">
      <alignment horizontal="left" vertical="center" indent="3"/>
    </xf>
    <xf numFmtId="0" fontId="34" fillId="0" borderId="0" xfId="0" applyNumberFormat="1" applyFont="1" applyFill="1" applyBorder="1" applyAlignment="1" applyProtection="1">
      <alignment horizontal="left" vertical="center"/>
    </xf>
    <xf numFmtId="0" fontId="39" fillId="0" borderId="0" xfId="0" applyFont="1" applyBorder="1">
      <alignment vertical="center"/>
    </xf>
    <xf numFmtId="0" fontId="0" fillId="0" borderId="64" xfId="0" applyBorder="1" applyAlignment="1">
      <alignment horizontal="left" vertical="center" indent="1"/>
    </xf>
    <xf numFmtId="3" fontId="34" fillId="0" borderId="38" xfId="0" applyNumberFormat="1" applyFont="1" applyFill="1" applyBorder="1" applyAlignment="1" applyProtection="1">
      <alignment horizontal="right" vertical="center"/>
    </xf>
    <xf numFmtId="0" fontId="39" fillId="0" borderId="24" xfId="0" applyFont="1" applyBorder="1" applyAlignment="1">
      <alignment horizontal="center" vertical="center"/>
    </xf>
    <xf numFmtId="3" fontId="40" fillId="0" borderId="42" xfId="0" applyNumberFormat="1" applyFont="1" applyBorder="1">
      <alignment vertical="center"/>
    </xf>
    <xf numFmtId="3" fontId="41" fillId="0" borderId="62" xfId="0" applyNumberFormat="1" applyFont="1" applyFill="1" applyBorder="1" applyAlignment="1" applyProtection="1">
      <alignment horizontal="right" vertical="center"/>
    </xf>
    <xf numFmtId="0" fontId="38" fillId="0" borderId="0" xfId="1" applyFont="1" applyBorder="1" applyAlignment="1" applyProtection="1"/>
    <xf numFmtId="3" fontId="41" fillId="0" borderId="63" xfId="0" applyNumberFormat="1" applyFont="1" applyFill="1" applyBorder="1" applyAlignment="1" applyProtection="1">
      <alignment horizontal="right" vertical="center"/>
    </xf>
    <xf numFmtId="0" fontId="42" fillId="0" borderId="0" xfId="1" applyFont="1"/>
    <xf numFmtId="9" fontId="41" fillId="0" borderId="62" xfId="9" applyFont="1" applyFill="1" applyBorder="1" applyAlignment="1" applyProtection="1">
      <alignment horizontal="right" vertical="center"/>
    </xf>
    <xf numFmtId="9" fontId="41" fillId="0" borderId="25" xfId="9" applyFont="1" applyFill="1" applyBorder="1" applyAlignment="1" applyProtection="1">
      <alignment horizontal="right" vertical="center"/>
    </xf>
    <xf numFmtId="9" fontId="2" fillId="0" borderId="58" xfId="9" applyFont="1" applyBorder="1" applyAlignment="1">
      <alignment horizontal="center" vertical="center" wrapText="1"/>
    </xf>
    <xf numFmtId="9" fontId="34" fillId="0" borderId="62" xfId="9" applyFont="1" applyFill="1" applyBorder="1" applyAlignment="1" applyProtection="1">
      <alignment horizontal="right" vertical="center"/>
    </xf>
    <xf numFmtId="9" fontId="34" fillId="0" borderId="65" xfId="9" applyFont="1" applyFill="1" applyBorder="1" applyAlignment="1" applyProtection="1">
      <alignment horizontal="right" vertical="center"/>
    </xf>
    <xf numFmtId="9" fontId="11" fillId="0" borderId="0" xfId="9" applyFont="1" applyBorder="1" applyAlignment="1" applyProtection="1">
      <alignment vertical="center"/>
    </xf>
    <xf numFmtId="9" fontId="20" fillId="0" borderId="4" xfId="9" applyFont="1" applyBorder="1" applyAlignment="1" applyProtection="1">
      <alignment horizontal="right" vertical="center"/>
    </xf>
    <xf numFmtId="9" fontId="20" fillId="0" borderId="37" xfId="9" applyFont="1" applyBorder="1" applyAlignment="1" applyProtection="1">
      <alignment horizontal="right" vertical="center"/>
    </xf>
    <xf numFmtId="9" fontId="20" fillId="0" borderId="46" xfId="9" applyFont="1" applyBorder="1" applyAlignment="1" applyProtection="1">
      <alignment horizontal="right" vertical="center"/>
    </xf>
    <xf numFmtId="0" fontId="32" fillId="0" borderId="66" xfId="0" applyNumberFormat="1" applyFont="1" applyFill="1" applyBorder="1" applyAlignment="1" applyProtection="1">
      <alignment horizontal="center" vertical="center" wrapText="1"/>
    </xf>
    <xf numFmtId="0" fontId="11" fillId="0" borderId="28" xfId="1" applyFont="1" applyBorder="1" applyAlignment="1" applyProtection="1">
      <alignment horizontal="left" vertical="center" indent="1"/>
    </xf>
    <xf numFmtId="0" fontId="30" fillId="0" borderId="0" xfId="0" applyFont="1" applyBorder="1" applyAlignment="1" applyProtection="1">
      <alignment horizontal="right" vertical="center"/>
    </xf>
    <xf numFmtId="0" fontId="11" fillId="0" borderId="0" xfId="1" applyFont="1" applyBorder="1" applyAlignment="1" applyProtection="1">
      <alignment horizontal="right"/>
    </xf>
    <xf numFmtId="0" fontId="30" fillId="0" borderId="0" xfId="1" applyFont="1" applyBorder="1" applyAlignment="1" applyProtection="1">
      <alignment horizontal="right" vertical="center"/>
    </xf>
    <xf numFmtId="0" fontId="11" fillId="0" borderId="0" xfId="1" applyFont="1" applyBorder="1" applyAlignment="1" applyProtection="1">
      <alignment horizontal="right" vertical="center"/>
    </xf>
    <xf numFmtId="0" fontId="4" fillId="0" borderId="0" xfId="1" applyFont="1" applyBorder="1" applyAlignment="1" applyProtection="1">
      <alignment horizontal="right"/>
    </xf>
    <xf numFmtId="0" fontId="36" fillId="0" borderId="16" xfId="1" applyFont="1" applyBorder="1" applyAlignment="1" applyProtection="1">
      <alignment horizontal="center" vertical="center"/>
    </xf>
    <xf numFmtId="0" fontId="37" fillId="0" borderId="0" xfId="1" applyFont="1" applyBorder="1" applyAlignment="1" applyProtection="1"/>
    <xf numFmtId="0" fontId="36" fillId="0" borderId="67" xfId="1" applyFont="1" applyBorder="1" applyAlignment="1" applyProtection="1">
      <alignment horizontal="right" vertical="center"/>
    </xf>
    <xf numFmtId="0" fontId="30" fillId="0" borderId="68" xfId="1" applyFont="1" applyBorder="1" applyAlignment="1" applyProtection="1">
      <alignment horizontal="right" vertical="center"/>
    </xf>
    <xf numFmtId="0" fontId="11" fillId="0" borderId="68" xfId="1" applyFont="1" applyBorder="1" applyAlignment="1" applyProtection="1">
      <alignment horizontal="right" vertical="center"/>
    </xf>
    <xf numFmtId="0" fontId="11" fillId="0" borderId="33" xfId="1" applyFont="1" applyBorder="1" applyAlignment="1" applyProtection="1">
      <alignment horizontal="right" vertical="center"/>
    </xf>
    <xf numFmtId="0" fontId="30" fillId="0" borderId="33" xfId="1" applyFont="1" applyBorder="1" applyAlignment="1" applyProtection="1">
      <alignment horizontal="right" vertical="center"/>
    </xf>
    <xf numFmtId="9" fontId="30" fillId="0" borderId="0" xfId="9" applyFont="1" applyBorder="1" applyAlignment="1" applyProtection="1">
      <alignment vertical="center"/>
    </xf>
    <xf numFmtId="9" fontId="10" fillId="0" borderId="0" xfId="9" applyFont="1" applyBorder="1" applyAlignment="1" applyProtection="1">
      <alignment horizontal="center" vertical="center" wrapText="1"/>
    </xf>
    <xf numFmtId="9" fontId="30" fillId="0" borderId="50" xfId="9" applyFont="1" applyBorder="1" applyAlignment="1" applyProtection="1">
      <alignment vertical="center"/>
    </xf>
    <xf numFmtId="0" fontId="36" fillId="0" borderId="70" xfId="1" applyFont="1" applyBorder="1" applyAlignment="1" applyProtection="1">
      <alignment horizontal="right" vertical="center"/>
    </xf>
    <xf numFmtId="0" fontId="11" fillId="0" borderId="42" xfId="1" applyFont="1" applyBorder="1" applyAlignment="1" applyProtection="1">
      <alignment horizontal="right" vertical="center"/>
    </xf>
    <xf numFmtId="9" fontId="30" fillId="0" borderId="42" xfId="9" applyFont="1" applyBorder="1" applyAlignment="1" applyProtection="1">
      <alignment vertical="center"/>
    </xf>
    <xf numFmtId="0" fontId="36" fillId="0" borderId="5" xfId="1" applyFont="1" applyBorder="1" applyAlignment="1" applyProtection="1">
      <alignment vertical="center"/>
    </xf>
    <xf numFmtId="0" fontId="36" fillId="0" borderId="69" xfId="1" applyFont="1" applyBorder="1" applyAlignment="1" applyProtection="1">
      <alignment horizontal="right" vertical="center"/>
    </xf>
    <xf numFmtId="0" fontId="43" fillId="0" borderId="0" xfId="1" applyFont="1" applyBorder="1" applyAlignment="1" applyProtection="1">
      <alignment horizontal="right" vertical="center"/>
    </xf>
    <xf numFmtId="9" fontId="36" fillId="0" borderId="50" xfId="9" applyFont="1" applyBorder="1" applyAlignment="1" applyProtection="1">
      <alignment vertical="center"/>
    </xf>
    <xf numFmtId="0" fontId="43" fillId="0" borderId="68" xfId="1" applyFont="1" applyBorder="1" applyAlignment="1" applyProtection="1">
      <alignment horizontal="right" vertical="center"/>
    </xf>
    <xf numFmtId="0" fontId="36" fillId="0" borderId="68" xfId="1" applyFont="1" applyBorder="1" applyAlignment="1" applyProtection="1">
      <alignment horizontal="right" vertical="center"/>
    </xf>
    <xf numFmtId="0" fontId="34" fillId="2" borderId="0" xfId="0" applyNumberFormat="1" applyFont="1" applyFill="1" applyBorder="1" applyAlignment="1" applyProtection="1">
      <alignment vertical="center" wrapText="1"/>
    </xf>
    <xf numFmtId="0" fontId="34" fillId="2" borderId="35" xfId="0" applyNumberFormat="1" applyFont="1" applyFill="1" applyBorder="1" applyAlignment="1" applyProtection="1">
      <alignment vertical="center" wrapText="1"/>
    </xf>
    <xf numFmtId="0" fontId="35" fillId="2" borderId="35" xfId="0" applyNumberFormat="1" applyFont="1" applyFill="1" applyBorder="1" applyAlignment="1" applyProtection="1">
      <alignment vertical="center" wrapText="1"/>
    </xf>
    <xf numFmtId="0" fontId="35" fillId="2" borderId="50" xfId="0" applyNumberFormat="1" applyFont="1" applyFill="1" applyBorder="1" applyAlignment="1" applyProtection="1">
      <alignment vertical="center" wrapText="1"/>
    </xf>
    <xf numFmtId="0" fontId="26" fillId="2" borderId="0" xfId="1" applyFont="1" applyFill="1"/>
    <xf numFmtId="0" fontId="34" fillId="2" borderId="19" xfId="0" applyNumberFormat="1" applyFont="1" applyFill="1" applyBorder="1" applyAlignment="1" applyProtection="1">
      <alignment vertical="center" wrapText="1"/>
    </xf>
    <xf numFmtId="0" fontId="34" fillId="2" borderId="25" xfId="0" applyNumberFormat="1" applyFont="1" applyFill="1" applyBorder="1" applyAlignment="1" applyProtection="1">
      <alignment vertical="center" wrapText="1"/>
    </xf>
    <xf numFmtId="0" fontId="35" fillId="2" borderId="25" xfId="0" applyNumberFormat="1" applyFont="1" applyFill="1" applyBorder="1" applyAlignment="1" applyProtection="1">
      <alignment vertical="center" wrapText="1"/>
    </xf>
    <xf numFmtId="0" fontId="35" fillId="2" borderId="42" xfId="0" applyNumberFormat="1" applyFont="1" applyFill="1" applyBorder="1" applyAlignment="1" applyProtection="1">
      <alignment vertical="center" wrapText="1"/>
    </xf>
    <xf numFmtId="0" fontId="35" fillId="2" borderId="33" xfId="0" applyNumberFormat="1" applyFont="1" applyFill="1" applyBorder="1" applyAlignment="1" applyProtection="1">
      <alignment vertical="center" wrapText="1"/>
    </xf>
    <xf numFmtId="1" fontId="34" fillId="2" borderId="35" xfId="0" applyNumberFormat="1" applyFont="1" applyFill="1" applyBorder="1" applyAlignment="1" applyProtection="1">
      <alignment vertical="center" wrapText="1"/>
    </xf>
    <xf numFmtId="179" fontId="25" fillId="2" borderId="0" xfId="1" applyNumberFormat="1" applyFont="1" applyFill="1" applyBorder="1" applyAlignment="1" applyProtection="1"/>
    <xf numFmtId="0" fontId="25" fillId="2" borderId="0" xfId="1" applyFont="1" applyFill="1" applyBorder="1" applyAlignment="1" applyProtection="1"/>
    <xf numFmtId="0" fontId="22" fillId="2" borderId="0" xfId="1" applyFont="1" applyFill="1" applyBorder="1" applyAlignment="1" applyProtection="1"/>
    <xf numFmtId="0" fontId="36" fillId="0" borderId="16" xfId="0" applyFont="1" applyBorder="1" applyAlignment="1" applyProtection="1">
      <alignment horizontal="center"/>
    </xf>
    <xf numFmtId="178" fontId="44" fillId="0" borderId="17" xfId="0" applyNumberFormat="1" applyFont="1" applyBorder="1" applyAlignment="1" applyProtection="1">
      <alignment horizontal="right" vertical="center"/>
    </xf>
    <xf numFmtId="9" fontId="44" fillId="0" borderId="29" xfId="9" applyFont="1" applyBorder="1" applyAlignment="1" applyProtection="1">
      <alignment horizontal="right" vertical="center"/>
    </xf>
    <xf numFmtId="178" fontId="45" fillId="0" borderId="0" xfId="0" applyNumberFormat="1" applyFont="1" applyBorder="1" applyAlignment="1" applyProtection="1">
      <alignment horizontal="right" vertical="center"/>
    </xf>
    <xf numFmtId="178" fontId="38" fillId="0" borderId="0" xfId="0" applyNumberFormat="1" applyFont="1" applyBorder="1" applyAlignment="1" applyProtection="1"/>
    <xf numFmtId="9" fontId="18" fillId="0" borderId="6" xfId="9" applyFont="1" applyBorder="1" applyAlignment="1" applyProtection="1">
      <alignment horizontal="right" vertical="center"/>
    </xf>
    <xf numFmtId="9" fontId="18" fillId="0" borderId="46" xfId="9" applyFont="1" applyBorder="1" applyAlignment="1" applyProtection="1">
      <alignment horizontal="right" vertical="center"/>
    </xf>
    <xf numFmtId="9" fontId="24" fillId="0" borderId="19" xfId="9" applyFont="1" applyFill="1" applyBorder="1" applyAlignment="1" applyProtection="1">
      <alignment horizontal="right" vertical="center"/>
    </xf>
    <xf numFmtId="9" fontId="20" fillId="0" borderId="44" xfId="9" applyFont="1" applyBorder="1" applyAlignment="1" applyProtection="1">
      <alignment horizontal="right" vertical="center"/>
    </xf>
    <xf numFmtId="9" fontId="44" fillId="0" borderId="17" xfId="9" applyFont="1" applyBorder="1" applyAlignment="1" applyProtection="1">
      <alignment horizontal="right" vertical="center"/>
    </xf>
    <xf numFmtId="0" fontId="36" fillId="0" borderId="1" xfId="0" applyFont="1" applyBorder="1" applyAlignment="1" applyProtection="1">
      <alignment horizontal="center" vertical="center"/>
    </xf>
    <xf numFmtId="178" fontId="44" fillId="0" borderId="2" xfId="1" applyNumberFormat="1" applyFont="1" applyBorder="1" applyAlignment="1" applyProtection="1">
      <alignment horizontal="right" vertical="center" wrapText="1"/>
    </xf>
    <xf numFmtId="9" fontId="19" fillId="0" borderId="2" xfId="9" applyFont="1" applyBorder="1" applyAlignment="1" applyProtection="1">
      <alignment horizontal="right" vertical="center"/>
    </xf>
    <xf numFmtId="0" fontId="46" fillId="0" borderId="0" xfId="0" applyFont="1" applyAlignment="1"/>
    <xf numFmtId="9" fontId="18" fillId="0" borderId="0" xfId="9" applyFont="1" applyBorder="1" applyAlignment="1" applyProtection="1">
      <alignment horizontal="right" vertical="center"/>
    </xf>
    <xf numFmtId="9" fontId="18" fillId="0" borderId="13" xfId="9" applyFont="1" applyBorder="1" applyAlignment="1" applyProtection="1">
      <alignment horizontal="right" vertical="center"/>
    </xf>
    <xf numFmtId="9" fontId="18" fillId="0" borderId="44" xfId="9" applyFont="1" applyBorder="1" applyAlignment="1" applyProtection="1">
      <alignment horizontal="right" vertical="center"/>
    </xf>
    <xf numFmtId="9" fontId="44" fillId="0" borderId="3" xfId="9" applyFont="1" applyBorder="1" applyAlignment="1" applyProtection="1">
      <alignment horizontal="right" vertical="center" wrapText="1"/>
    </xf>
    <xf numFmtId="0" fontId="47" fillId="0" borderId="0" xfId="0" applyFont="1" applyBorder="1" applyAlignment="1" applyProtection="1">
      <alignment vertical="center"/>
    </xf>
    <xf numFmtId="0" fontId="40" fillId="0" borderId="64" xfId="10" applyFont="1" applyFill="1" applyBorder="1" applyAlignment="1">
      <alignment horizontal="center" vertical="center"/>
    </xf>
    <xf numFmtId="0" fontId="40" fillId="0" borderId="65" xfId="10" applyFont="1" applyFill="1" applyBorder="1" applyAlignment="1">
      <alignment horizontal="center" vertical="center"/>
    </xf>
    <xf numFmtId="0" fontId="40" fillId="0" borderId="38" xfId="10" applyFont="1" applyFill="1" applyBorder="1" applyAlignment="1">
      <alignment horizontal="center" vertical="center"/>
    </xf>
    <xf numFmtId="3" fontId="32" fillId="0" borderId="0" xfId="10" applyNumberFormat="1" applyFont="1" applyFill="1" applyBorder="1" applyAlignment="1" applyProtection="1">
      <alignment horizontal="left" vertical="center"/>
    </xf>
    <xf numFmtId="3" fontId="8" fillId="0" borderId="24" xfId="10" applyNumberFormat="1" applyFont="1" applyFill="1" applyBorder="1" applyAlignment="1" applyProtection="1">
      <alignment horizontal="left" vertical="center" indent="1"/>
    </xf>
    <xf numFmtId="180" fontId="49" fillId="0" borderId="25" xfId="10" applyNumberFormat="1" applyFont="1" applyFill="1" applyBorder="1" applyAlignment="1">
      <alignment vertical="center"/>
    </xf>
    <xf numFmtId="180" fontId="49" fillId="0" borderId="42" xfId="10" applyNumberFormat="1" applyFont="1" applyFill="1" applyBorder="1" applyAlignment="1">
      <alignment vertical="center"/>
    </xf>
    <xf numFmtId="181" fontId="6" fillId="0" borderId="0" xfId="0" applyNumberFormat="1" applyFont="1" applyFill="1" applyBorder="1" applyAlignment="1"/>
    <xf numFmtId="0" fontId="39" fillId="0" borderId="0" xfId="10" applyFont="1" applyFill="1" applyAlignment="1">
      <alignment horizontal="center"/>
    </xf>
    <xf numFmtId="181" fontId="39" fillId="0" borderId="0" xfId="10" applyNumberFormat="1" applyFont="1" applyFill="1" applyAlignment="1">
      <alignment horizontal="center"/>
    </xf>
    <xf numFmtId="0" fontId="50" fillId="3" borderId="19" xfId="0" applyNumberFormat="1" applyFont="1" applyFill="1" applyBorder="1" applyAlignment="1">
      <alignment vertical="center" wrapText="1"/>
    </xf>
    <xf numFmtId="0" fontId="50" fillId="3" borderId="19" xfId="0" applyNumberFormat="1" applyFont="1" applyFill="1" applyBorder="1" applyAlignment="1">
      <alignment horizontal="center" vertical="center" wrapText="1"/>
    </xf>
    <xf numFmtId="0" fontId="41" fillId="3" borderId="58" xfId="0" applyFont="1" applyFill="1" applyBorder="1" applyAlignment="1">
      <alignment horizontal="center" vertical="center" wrapText="1"/>
    </xf>
    <xf numFmtId="181" fontId="51" fillId="3" borderId="57" xfId="0" applyNumberFormat="1" applyFont="1" applyFill="1" applyBorder="1" applyAlignment="1">
      <alignment horizontal="center" vertical="center" wrapText="1"/>
    </xf>
    <xf numFmtId="182" fontId="52" fillId="3" borderId="0" xfId="0" applyNumberFormat="1" applyFont="1" applyFill="1" applyBorder="1" applyAlignment="1">
      <alignment horizontal="right" vertical="center" wrapText="1"/>
    </xf>
    <xf numFmtId="0" fontId="50" fillId="3" borderId="33" xfId="0" applyNumberFormat="1" applyFont="1" applyFill="1" applyBorder="1" applyAlignment="1">
      <alignment horizontal="left" vertical="center" wrapText="1" indent="2"/>
    </xf>
    <xf numFmtId="0" fontId="50" fillId="3" borderId="24" xfId="0" applyNumberFormat="1" applyFont="1" applyFill="1" applyBorder="1" applyAlignment="1">
      <alignment horizontal="left" vertical="center" wrapText="1" indent="2"/>
    </xf>
    <xf numFmtId="182" fontId="52" fillId="3" borderId="19" xfId="0" applyNumberFormat="1" applyFont="1" applyFill="1" applyBorder="1" applyAlignment="1">
      <alignment horizontal="right" vertical="center" wrapText="1"/>
    </xf>
    <xf numFmtId="180" fontId="40" fillId="0" borderId="71" xfId="10" applyNumberFormat="1" applyFont="1" applyFill="1" applyBorder="1" applyAlignment="1">
      <alignment vertical="center"/>
    </xf>
    <xf numFmtId="0" fontId="0" fillId="0" borderId="0" xfId="0" applyBorder="1">
      <alignment vertical="center"/>
    </xf>
    <xf numFmtId="0" fontId="50" fillId="3" borderId="33" xfId="0" applyNumberFormat="1" applyFont="1" applyFill="1" applyBorder="1" applyAlignment="1">
      <alignment vertical="center" wrapText="1"/>
    </xf>
    <xf numFmtId="0" fontId="53" fillId="3" borderId="33" xfId="0" applyNumberFormat="1" applyFont="1" applyFill="1" applyBorder="1" applyAlignment="1">
      <alignment horizontal="left" vertical="center" wrapText="1"/>
    </xf>
    <xf numFmtId="182" fontId="51" fillId="3" borderId="0" xfId="0" applyNumberFormat="1" applyFont="1" applyFill="1" applyBorder="1" applyAlignment="1">
      <alignment horizontal="right" vertical="center" wrapText="1"/>
    </xf>
    <xf numFmtId="0" fontId="54" fillId="2" borderId="0" xfId="0" applyNumberFormat="1" applyFont="1" applyFill="1" applyBorder="1" applyAlignment="1" applyProtection="1">
      <alignment vertical="center" wrapText="1"/>
    </xf>
    <xf numFmtId="0" fontId="34" fillId="0" borderId="62" xfId="0" applyNumberFormat="1" applyFont="1" applyFill="1" applyBorder="1" applyAlignment="1" applyProtection="1">
      <alignment vertical="center" wrapText="1"/>
    </xf>
    <xf numFmtId="0" fontId="4" fillId="2" borderId="0" xfId="0" applyFont="1" applyFill="1" applyBorder="1" applyAlignment="1" applyProtection="1"/>
    <xf numFmtId="0" fontId="4" fillId="2" borderId="0" xfId="1" applyFont="1" applyFill="1" applyBorder="1" applyAlignment="1" applyProtection="1"/>
    <xf numFmtId="0" fontId="0" fillId="2" borderId="58" xfId="0" applyFill="1" applyBorder="1" applyAlignment="1">
      <alignment horizontal="center" vertical="center"/>
    </xf>
    <xf numFmtId="3" fontId="41" fillId="2" borderId="62" xfId="0" applyNumberFormat="1" applyFont="1" applyFill="1" applyBorder="1" applyAlignment="1" applyProtection="1">
      <alignment horizontal="right" vertical="center"/>
    </xf>
    <xf numFmtId="3" fontId="34" fillId="2" borderId="62" xfId="0" applyNumberFormat="1" applyFont="1" applyFill="1" applyBorder="1" applyAlignment="1" applyProtection="1">
      <alignment horizontal="right" vertical="center"/>
    </xf>
    <xf numFmtId="3" fontId="34" fillId="2" borderId="65" xfId="0" applyNumberFormat="1" applyFont="1" applyFill="1" applyBorder="1" applyAlignment="1" applyProtection="1">
      <alignment horizontal="right" vertical="center"/>
    </xf>
    <xf numFmtId="3" fontId="40" fillId="2" borderId="42" xfId="0" applyNumberFormat="1" applyFont="1" applyFill="1" applyBorder="1">
      <alignment vertical="center"/>
    </xf>
    <xf numFmtId="9" fontId="4" fillId="2" borderId="0" xfId="9" applyFont="1" applyFill="1" applyBorder="1" applyAlignment="1" applyProtection="1"/>
    <xf numFmtId="9" fontId="29" fillId="2" borderId="0" xfId="9" applyFont="1" applyFill="1" applyBorder="1" applyAlignment="1" applyProtection="1">
      <alignment horizontal="right" vertical="center"/>
    </xf>
    <xf numFmtId="9" fontId="0" fillId="2" borderId="57" xfId="9" applyFont="1" applyFill="1" applyBorder="1" applyAlignment="1">
      <alignment horizontal="center" vertical="center" wrapText="1"/>
    </xf>
    <xf numFmtId="9" fontId="39" fillId="2" borderId="0" xfId="9" applyFont="1" applyFill="1" applyBorder="1">
      <alignment vertical="center"/>
    </xf>
    <xf numFmtId="9" fontId="6" fillId="2" borderId="0" xfId="9" applyFont="1" applyFill="1" applyBorder="1">
      <alignment vertical="center"/>
    </xf>
    <xf numFmtId="9" fontId="39" fillId="2" borderId="54" xfId="9" applyFont="1" applyFill="1" applyBorder="1">
      <alignment vertical="center"/>
    </xf>
    <xf numFmtId="0" fontId="15" fillId="0" borderId="0" xfId="0" applyFont="1" applyBorder="1" applyAlignment="1" applyProtection="1">
      <alignment horizontal="center" vertical="center"/>
    </xf>
    <xf numFmtId="0" fontId="18" fillId="0" borderId="9" xfId="0" applyFont="1" applyBorder="1" applyAlignment="1" applyProtection="1">
      <alignment horizontal="left" vertical="top" wrapText="1"/>
    </xf>
    <xf numFmtId="0" fontId="18" fillId="0" borderId="9" xfId="0" applyFont="1" applyBorder="1" applyAlignment="1" applyProtection="1">
      <alignment horizontal="left" vertical="top"/>
    </xf>
    <xf numFmtId="0" fontId="18" fillId="0" borderId="30" xfId="0" applyFont="1" applyBorder="1" applyAlignment="1" applyProtection="1">
      <alignment horizontal="left" vertical="top"/>
    </xf>
    <xf numFmtId="0" fontId="15" fillId="0" borderId="0" xfId="1" applyFont="1" applyBorder="1" applyAlignment="1" applyProtection="1">
      <alignment horizontal="center" vertical="center"/>
    </xf>
    <xf numFmtId="0" fontId="27" fillId="0" borderId="0" xfId="1" applyFont="1" applyBorder="1" applyAlignment="1" applyProtection="1">
      <alignment horizontal="center" vertical="center"/>
    </xf>
    <xf numFmtId="49" fontId="15" fillId="0" borderId="0" xfId="1" applyNumberFormat="1" applyFont="1" applyBorder="1" applyAlignment="1" applyProtection="1">
      <alignment horizontal="center" vertical="center"/>
    </xf>
    <xf numFmtId="0" fontId="11" fillId="0" borderId="18" xfId="1" applyFont="1" applyBorder="1" applyAlignment="1" applyProtection="1">
      <alignment horizontal="left" vertical="top" wrapText="1"/>
    </xf>
    <xf numFmtId="0" fontId="11" fillId="0" borderId="40" xfId="1" applyFont="1" applyBorder="1" applyAlignment="1" applyProtection="1">
      <alignment horizontal="left" vertical="top" wrapText="1"/>
    </xf>
    <xf numFmtId="0" fontId="32" fillId="0" borderId="38" xfId="0" applyNumberFormat="1" applyFont="1" applyFill="1" applyBorder="1" applyAlignment="1" applyProtection="1">
      <alignment horizontal="center" vertical="center" wrapText="1"/>
    </xf>
    <xf numFmtId="0" fontId="32" fillId="0" borderId="47" xfId="0" applyFont="1" applyFill="1" applyBorder="1" applyAlignment="1">
      <alignment horizontal="center" vertical="center" wrapText="1"/>
    </xf>
    <xf numFmtId="0" fontId="21" fillId="0" borderId="0" xfId="1" applyFont="1" applyFill="1" applyBorder="1" applyAlignment="1" applyProtection="1">
      <alignment horizontal="center" vertical="center"/>
    </xf>
    <xf numFmtId="0" fontId="32" fillId="0" borderId="47" xfId="0" applyNumberFormat="1" applyFont="1" applyFill="1" applyBorder="1" applyAlignment="1" applyProtection="1">
      <alignment horizontal="center" vertical="center" wrapText="1"/>
    </xf>
    <xf numFmtId="0" fontId="48" fillId="0" borderId="0" xfId="10" applyFont="1" applyFill="1" applyAlignment="1">
      <alignment horizontal="center" vertical="center"/>
    </xf>
    <xf numFmtId="0" fontId="49" fillId="0" borderId="19" xfId="10" applyFont="1" applyFill="1" applyBorder="1" applyAlignment="1">
      <alignment horizontal="right" vertical="center"/>
    </xf>
    <xf numFmtId="180" fontId="48" fillId="0" borderId="0" xfId="10" applyNumberFormat="1" applyFont="1" applyFill="1" applyAlignment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11" fillId="0" borderId="1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 wrapText="1"/>
    </xf>
    <xf numFmtId="0" fontId="11" fillId="0" borderId="11" xfId="0" applyFont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/>
    </xf>
    <xf numFmtId="9" fontId="11" fillId="0" borderId="13" xfId="9" applyFont="1" applyBorder="1" applyAlignment="1" applyProtection="1">
      <alignment horizontal="center" vertical="center" wrapText="1"/>
    </xf>
    <xf numFmtId="9" fontId="11" fillId="0" borderId="15" xfId="9" applyFont="1" applyBorder="1" applyAlignment="1" applyProtection="1">
      <alignment horizontal="center" vertical="center"/>
    </xf>
    <xf numFmtId="9" fontId="18" fillId="0" borderId="41" xfId="9" applyFont="1" applyBorder="1" applyAlignment="1" applyProtection="1">
      <alignment horizontal="center" vertical="center" wrapText="1"/>
    </xf>
    <xf numFmtId="9" fontId="18" fillId="0" borderId="42" xfId="9" applyFont="1" applyBorder="1" applyAlignment="1" applyProtection="1">
      <alignment horizontal="center" vertical="center" wrapText="1"/>
    </xf>
    <xf numFmtId="0" fontId="18" fillId="0" borderId="20" xfId="0" applyFont="1" applyBorder="1" applyAlignment="1" applyProtection="1">
      <alignment horizontal="center" vertical="center"/>
    </xf>
    <xf numFmtId="0" fontId="18" fillId="0" borderId="21" xfId="0" applyFont="1" applyBorder="1" applyAlignment="1" applyProtection="1">
      <alignment horizontal="center" vertical="center"/>
    </xf>
    <xf numFmtId="0" fontId="11" fillId="0" borderId="48" xfId="0" applyFont="1" applyBorder="1" applyAlignment="1" applyProtection="1">
      <alignment horizontal="center" vertical="center" wrapText="1"/>
    </xf>
    <xf numFmtId="0" fontId="11" fillId="0" borderId="49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center" vertical="center" wrapText="1"/>
    </xf>
    <xf numFmtId="0" fontId="11" fillId="0" borderId="20" xfId="0" applyFont="1" applyBorder="1" applyAlignment="1" applyProtection="1">
      <alignment horizontal="center" vertical="center"/>
    </xf>
    <xf numFmtId="0" fontId="11" fillId="0" borderId="21" xfId="0" applyFont="1" applyBorder="1" applyAlignment="1" applyProtection="1">
      <alignment horizontal="center" vertical="center"/>
    </xf>
    <xf numFmtId="0" fontId="18" fillId="0" borderId="41" xfId="0" applyFont="1" applyBorder="1" applyAlignment="1" applyProtection="1">
      <alignment horizontal="center" vertical="center" wrapText="1"/>
    </xf>
    <xf numFmtId="0" fontId="18" fillId="0" borderId="42" xfId="0" applyFont="1" applyBorder="1" applyAlignment="1" applyProtection="1">
      <alignment horizontal="center" vertical="center" wrapText="1"/>
    </xf>
    <xf numFmtId="0" fontId="11" fillId="0" borderId="27" xfId="0" applyFont="1" applyBorder="1" applyAlignment="1" applyProtection="1">
      <alignment horizontal="center" vertical="center" wrapText="1"/>
    </xf>
    <xf numFmtId="0" fontId="11" fillId="0" borderId="45" xfId="0" applyFont="1" applyBorder="1" applyAlignment="1" applyProtection="1">
      <alignment horizontal="center" vertical="center"/>
    </xf>
    <xf numFmtId="0" fontId="32" fillId="0" borderId="57" xfId="0" applyFont="1" applyFill="1" applyBorder="1" applyAlignment="1">
      <alignment horizontal="center" vertical="center" wrapText="1"/>
    </xf>
    <xf numFmtId="0" fontId="32" fillId="0" borderId="9" xfId="0" applyNumberFormat="1" applyFont="1" applyFill="1" applyBorder="1" applyAlignment="1" applyProtection="1">
      <alignment horizontal="center" vertical="center" wrapText="1"/>
    </xf>
    <xf numFmtId="0" fontId="32" fillId="0" borderId="19" xfId="0" applyNumberFormat="1" applyFont="1" applyFill="1" applyBorder="1" applyAlignment="1" applyProtection="1">
      <alignment horizontal="center" vertical="center" wrapText="1"/>
    </xf>
    <xf numFmtId="0" fontId="32" fillId="0" borderId="59" xfId="0" applyFont="1" applyFill="1" applyBorder="1" applyAlignment="1">
      <alignment horizontal="center" vertical="center" wrapText="1"/>
    </xf>
    <xf numFmtId="0" fontId="32" fillId="0" borderId="58" xfId="0" applyFont="1" applyFill="1" applyBorder="1" applyAlignment="1">
      <alignment horizontal="center" vertical="center" wrapText="1"/>
    </xf>
    <xf numFmtId="0" fontId="24" fillId="0" borderId="23" xfId="1" applyFont="1" applyFill="1" applyBorder="1" applyAlignment="1" applyProtection="1">
      <alignment horizontal="center" vertical="center"/>
    </xf>
    <xf numFmtId="0" fontId="6" fillId="0" borderId="24" xfId="0" applyFont="1" applyBorder="1">
      <alignment vertical="center"/>
    </xf>
  </cellXfs>
  <cellStyles count="11">
    <cellStyle name="百分比" xfId="9" builtinId="5"/>
    <cellStyle name="百分比 2" xfId="3"/>
    <cellStyle name="常规" xfId="0" builtinId="0"/>
    <cellStyle name="常规 17" xfId="5"/>
    <cellStyle name="常规 2" xfId="1"/>
    <cellStyle name="常规 2 2" xfId="6"/>
    <cellStyle name="常规 3" xfId="2"/>
    <cellStyle name="常规 4" xfId="4"/>
    <cellStyle name="常规 48" xfId="7"/>
    <cellStyle name="常规 5" xfId="8"/>
    <cellStyle name="常规 6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tabSelected="1" workbookViewId="0">
      <selection activeCell="D31" sqref="D31"/>
    </sheetView>
  </sheetViews>
  <sheetFormatPr defaultColWidth="54.625" defaultRowHeight="48" customHeight="1"/>
  <cols>
    <col min="1" max="1" width="34.125" style="4" customWidth="1"/>
    <col min="2" max="3" width="11.625" style="4" customWidth="1"/>
    <col min="4" max="4" width="11.625" style="153" customWidth="1"/>
    <col min="5" max="5" width="10" style="4" customWidth="1"/>
    <col min="6" max="7" width="54.625" style="4"/>
    <col min="8" max="16384" width="54.625" style="8"/>
  </cols>
  <sheetData>
    <row r="1" spans="1:6" ht="20.100000000000001" customHeight="1">
      <c r="A1" s="52" t="s">
        <v>97</v>
      </c>
    </row>
    <row r="2" spans="1:6" s="3" customFormat="1" ht="42.75" customHeight="1">
      <c r="A2" s="287" t="s">
        <v>1151</v>
      </c>
      <c r="B2" s="287"/>
      <c r="C2" s="287"/>
      <c r="D2" s="287"/>
      <c r="E2" s="287"/>
    </row>
    <row r="3" spans="1:6" s="4" customFormat="1" ht="18.75" customHeight="1" thickBot="1">
      <c r="A3" s="22"/>
      <c r="B3" s="22"/>
      <c r="C3" s="22"/>
      <c r="D3" s="154"/>
      <c r="E3" s="23" t="s">
        <v>0</v>
      </c>
    </row>
    <row r="4" spans="1:6" s="4" customFormat="1" ht="48" customHeight="1" thickBot="1">
      <c r="A4" s="24" t="s">
        <v>1</v>
      </c>
      <c r="B4" s="25" t="s">
        <v>167</v>
      </c>
      <c r="C4" s="25" t="s">
        <v>52</v>
      </c>
      <c r="D4" s="155" t="s">
        <v>53</v>
      </c>
      <c r="E4" s="26" t="s">
        <v>54</v>
      </c>
      <c r="F4" s="6" t="s">
        <v>2</v>
      </c>
    </row>
    <row r="5" spans="1:6" s="149" customFormat="1" ht="24" customHeight="1">
      <c r="A5" s="147" t="s">
        <v>40</v>
      </c>
      <c r="B5" s="30">
        <f>SUM(B6:B18)</f>
        <v>2999</v>
      </c>
      <c r="C5" s="30">
        <f>SUM(C6:C18)</f>
        <v>2999</v>
      </c>
      <c r="D5" s="156">
        <f>C5/B5</f>
        <v>1</v>
      </c>
      <c r="E5" s="160">
        <f>C5/2956</f>
        <v>1.0145466847090663</v>
      </c>
      <c r="F5" s="148" t="s">
        <v>2</v>
      </c>
    </row>
    <row r="6" spans="1:6" s="4" customFormat="1" ht="24" customHeight="1">
      <c r="A6" s="27" t="s">
        <v>19</v>
      </c>
      <c r="B6" s="28">
        <v>1360</v>
      </c>
      <c r="C6" s="28">
        <v>1360</v>
      </c>
      <c r="D6" s="157">
        <f t="shared" ref="D6:D27" si="0">C6/B6</f>
        <v>1</v>
      </c>
      <c r="E6" s="161">
        <f>C6/1259</f>
        <v>1.0802223987291502</v>
      </c>
      <c r="F6" s="7" t="s">
        <v>2</v>
      </c>
    </row>
    <row r="7" spans="1:6" s="4" customFormat="1" ht="24" customHeight="1">
      <c r="A7" s="27" t="s">
        <v>20</v>
      </c>
      <c r="B7" s="28">
        <v>2</v>
      </c>
      <c r="C7" s="28">
        <v>2</v>
      </c>
      <c r="D7" s="157"/>
      <c r="E7" s="161">
        <f>C7/985</f>
        <v>2.0304568527918783E-3</v>
      </c>
      <c r="F7" s="7" t="s">
        <v>2</v>
      </c>
    </row>
    <row r="8" spans="1:6" s="4" customFormat="1" ht="24" customHeight="1">
      <c r="A8" s="27" t="s">
        <v>21</v>
      </c>
      <c r="B8" s="28">
        <v>533</v>
      </c>
      <c r="C8" s="28">
        <v>533</v>
      </c>
      <c r="D8" s="157">
        <f t="shared" si="0"/>
        <v>1</v>
      </c>
      <c r="E8" s="161">
        <f>C8/513</f>
        <v>1.0389863547758285</v>
      </c>
      <c r="F8" s="7" t="s">
        <v>2</v>
      </c>
    </row>
    <row r="9" spans="1:6" s="4" customFormat="1" ht="24" customHeight="1">
      <c r="A9" s="27" t="s">
        <v>22</v>
      </c>
      <c r="B9" s="29"/>
      <c r="C9" s="28"/>
      <c r="D9" s="157"/>
      <c r="E9" s="161"/>
      <c r="F9" s="7" t="s">
        <v>2</v>
      </c>
    </row>
    <row r="10" spans="1:6" s="4" customFormat="1" ht="24" customHeight="1">
      <c r="A10" s="27" t="s">
        <v>23</v>
      </c>
      <c r="B10" s="28">
        <v>194</v>
      </c>
      <c r="C10" s="28">
        <v>194</v>
      </c>
      <c r="D10" s="157">
        <f t="shared" si="0"/>
        <v>1</v>
      </c>
      <c r="E10" s="161">
        <f>C10/144</f>
        <v>1.3472222222222223</v>
      </c>
      <c r="F10" s="7" t="s">
        <v>2</v>
      </c>
    </row>
    <row r="11" spans="1:6" s="4" customFormat="1" ht="24" customHeight="1">
      <c r="A11" s="27" t="s">
        <v>24</v>
      </c>
      <c r="B11" s="28">
        <v>413</v>
      </c>
      <c r="C11" s="28">
        <v>413</v>
      </c>
      <c r="D11" s="157">
        <f t="shared" si="0"/>
        <v>1</v>
      </c>
      <c r="E11" s="161">
        <f>C11/615</f>
        <v>0.67154471544715444</v>
      </c>
      <c r="F11" s="7" t="s">
        <v>2</v>
      </c>
    </row>
    <row r="12" spans="1:6" s="4" customFormat="1" ht="24" customHeight="1">
      <c r="A12" s="27" t="s">
        <v>25</v>
      </c>
      <c r="B12" s="28">
        <v>185</v>
      </c>
      <c r="C12" s="28">
        <v>185</v>
      </c>
      <c r="D12" s="157">
        <f t="shared" si="0"/>
        <v>1</v>
      </c>
      <c r="E12" s="161">
        <f>C12/164</f>
        <v>1.1280487804878048</v>
      </c>
      <c r="F12" s="7" t="s">
        <v>2</v>
      </c>
    </row>
    <row r="13" spans="1:6" s="4" customFormat="1" ht="24" customHeight="1">
      <c r="A13" s="27" t="s">
        <v>26</v>
      </c>
      <c r="B13" s="28">
        <v>56</v>
      </c>
      <c r="C13" s="28">
        <v>56</v>
      </c>
      <c r="D13" s="157">
        <f t="shared" si="0"/>
        <v>1</v>
      </c>
      <c r="E13" s="161">
        <f>C13/59</f>
        <v>0.94915254237288138</v>
      </c>
      <c r="F13" s="7" t="s">
        <v>2</v>
      </c>
    </row>
    <row r="14" spans="1:6" s="4" customFormat="1" ht="24" customHeight="1">
      <c r="A14" s="27" t="s">
        <v>27</v>
      </c>
      <c r="B14" s="28">
        <v>28</v>
      </c>
      <c r="C14" s="28">
        <v>28</v>
      </c>
      <c r="D14" s="157">
        <f t="shared" si="0"/>
        <v>1</v>
      </c>
      <c r="E14" s="161">
        <f>C14/10</f>
        <v>2.8</v>
      </c>
      <c r="F14" s="7" t="s">
        <v>2</v>
      </c>
    </row>
    <row r="15" spans="1:6" s="4" customFormat="1" ht="24" customHeight="1">
      <c r="A15" s="27" t="s">
        <v>28</v>
      </c>
      <c r="B15" s="28">
        <v>35</v>
      </c>
      <c r="C15" s="28">
        <v>35</v>
      </c>
      <c r="D15" s="157">
        <f t="shared" si="0"/>
        <v>1</v>
      </c>
      <c r="E15" s="161">
        <f>C15/25</f>
        <v>1.4</v>
      </c>
      <c r="F15" s="7" t="s">
        <v>2</v>
      </c>
    </row>
    <row r="16" spans="1:6" s="4" customFormat="1" ht="24" customHeight="1">
      <c r="A16" s="27" t="s">
        <v>29</v>
      </c>
      <c r="B16" s="28">
        <v>5</v>
      </c>
      <c r="C16" s="28">
        <v>5</v>
      </c>
      <c r="D16" s="157">
        <f t="shared" si="0"/>
        <v>1</v>
      </c>
      <c r="E16" s="161">
        <f>C16/4</f>
        <v>1.25</v>
      </c>
      <c r="F16" s="7" t="s">
        <v>2</v>
      </c>
    </row>
    <row r="17" spans="1:6" s="4" customFormat="1" ht="23.45" customHeight="1">
      <c r="A17" s="27" t="s">
        <v>30</v>
      </c>
      <c r="B17" s="28">
        <v>124</v>
      </c>
      <c r="C17" s="28">
        <v>124</v>
      </c>
      <c r="D17" s="157">
        <f t="shared" si="0"/>
        <v>1</v>
      </c>
      <c r="E17" s="161">
        <f>C17/122</f>
        <v>1.0163934426229508</v>
      </c>
      <c r="F17" s="7" t="s">
        <v>2</v>
      </c>
    </row>
    <row r="18" spans="1:6" s="4" customFormat="1" ht="23.45" customHeight="1">
      <c r="A18" s="27" t="s">
        <v>31</v>
      </c>
      <c r="B18" s="28">
        <v>64</v>
      </c>
      <c r="C18" s="28">
        <v>64</v>
      </c>
      <c r="D18" s="157">
        <f t="shared" si="0"/>
        <v>1</v>
      </c>
      <c r="E18" s="161">
        <f>C18/45</f>
        <v>1.4222222222222223</v>
      </c>
      <c r="F18" s="7" t="s">
        <v>2</v>
      </c>
    </row>
    <row r="19" spans="1:6" s="149" customFormat="1" ht="23.45" customHeight="1">
      <c r="A19" s="147" t="s">
        <v>41</v>
      </c>
      <c r="B19" s="30">
        <f>SUM(B20:B27)</f>
        <v>8481</v>
      </c>
      <c r="C19" s="30">
        <f>SUM(C20:C27)</f>
        <v>8481</v>
      </c>
      <c r="D19" s="156">
        <f t="shared" si="0"/>
        <v>1</v>
      </c>
      <c r="E19" s="160">
        <f>C19/8244</f>
        <v>1.0287481804949055</v>
      </c>
      <c r="F19" s="148" t="s">
        <v>2</v>
      </c>
    </row>
    <row r="20" spans="1:6" s="4" customFormat="1" ht="23.45" customHeight="1">
      <c r="A20" s="27" t="s">
        <v>32</v>
      </c>
      <c r="B20" s="28">
        <v>261</v>
      </c>
      <c r="C20" s="28">
        <v>261</v>
      </c>
      <c r="D20" s="157">
        <f t="shared" si="0"/>
        <v>1</v>
      </c>
      <c r="E20" s="161">
        <f>C20/331</f>
        <v>0.78851963746223563</v>
      </c>
      <c r="F20" s="7" t="s">
        <v>2</v>
      </c>
    </row>
    <row r="21" spans="1:6" s="4" customFormat="1" ht="23.45" customHeight="1">
      <c r="A21" s="27" t="s">
        <v>33</v>
      </c>
      <c r="B21" s="28">
        <v>205</v>
      </c>
      <c r="C21" s="28">
        <v>205</v>
      </c>
      <c r="D21" s="157">
        <f t="shared" si="0"/>
        <v>1</v>
      </c>
      <c r="E21" s="161">
        <f>C21/592</f>
        <v>0.34628378378378377</v>
      </c>
      <c r="F21" s="7" t="s">
        <v>2</v>
      </c>
    </row>
    <row r="22" spans="1:6" s="4" customFormat="1" ht="23.45" customHeight="1">
      <c r="A22" s="27" t="s">
        <v>34</v>
      </c>
      <c r="B22" s="28">
        <v>341</v>
      </c>
      <c r="C22" s="28">
        <v>341</v>
      </c>
      <c r="D22" s="157">
        <f t="shared" si="0"/>
        <v>1</v>
      </c>
      <c r="E22" s="161">
        <f>C22/413</f>
        <v>0.82566585956416461</v>
      </c>
      <c r="F22" s="7" t="s">
        <v>2</v>
      </c>
    </row>
    <row r="23" spans="1:6" s="4" customFormat="1" ht="23.45" customHeight="1">
      <c r="A23" s="27" t="s">
        <v>166</v>
      </c>
      <c r="B23" s="150">
        <v>4567</v>
      </c>
      <c r="C23" s="150">
        <v>4567</v>
      </c>
      <c r="D23" s="157">
        <f t="shared" si="0"/>
        <v>1</v>
      </c>
      <c r="E23" s="157">
        <f>C23/6594</f>
        <v>0.69259933272672125</v>
      </c>
      <c r="F23" s="7"/>
    </row>
    <row r="24" spans="1:6" s="4" customFormat="1" ht="23.45" customHeight="1">
      <c r="A24" s="27" t="s">
        <v>35</v>
      </c>
      <c r="B24" s="28">
        <v>2759</v>
      </c>
      <c r="C24" s="28">
        <v>2759</v>
      </c>
      <c r="D24" s="157">
        <f t="shared" si="0"/>
        <v>1</v>
      </c>
      <c r="E24" s="161">
        <f>C24/226</f>
        <v>12.207964601769911</v>
      </c>
      <c r="F24" s="7" t="s">
        <v>2</v>
      </c>
    </row>
    <row r="25" spans="1:6" s="4" customFormat="1" ht="23.45" customHeight="1">
      <c r="A25" s="27" t="s">
        <v>36</v>
      </c>
      <c r="B25" s="28"/>
      <c r="C25" s="28"/>
      <c r="D25" s="157"/>
      <c r="E25" s="161">
        <f>C25/600</f>
        <v>0</v>
      </c>
      <c r="F25" s="7" t="s">
        <v>2</v>
      </c>
    </row>
    <row r="26" spans="1:6" s="4" customFormat="1" ht="23.45" customHeight="1">
      <c r="A26" s="27" t="s">
        <v>37</v>
      </c>
      <c r="B26" s="28">
        <v>253</v>
      </c>
      <c r="C26" s="28">
        <v>253</v>
      </c>
      <c r="D26" s="157">
        <f t="shared" si="0"/>
        <v>1</v>
      </c>
      <c r="E26" s="161">
        <f>C26/86</f>
        <v>2.941860465116279</v>
      </c>
      <c r="F26" s="7" t="s">
        <v>2</v>
      </c>
    </row>
    <row r="27" spans="1:6" s="4" customFormat="1" ht="20.25" customHeight="1">
      <c r="A27" s="49" t="s">
        <v>38</v>
      </c>
      <c r="B27" s="28">
        <v>95</v>
      </c>
      <c r="C27" s="28">
        <v>95</v>
      </c>
      <c r="D27" s="159">
        <f t="shared" si="0"/>
        <v>1</v>
      </c>
      <c r="E27" s="161">
        <f>C27/2</f>
        <v>47.5</v>
      </c>
      <c r="F27" s="7" t="s">
        <v>2</v>
      </c>
    </row>
    <row r="28" spans="1:6" s="149" customFormat="1" ht="20.25" customHeight="1" thickBot="1">
      <c r="A28" s="151" t="s">
        <v>55</v>
      </c>
      <c r="B28" s="152">
        <f>B5+B19</f>
        <v>11480</v>
      </c>
      <c r="C28" s="152">
        <f>C5+C19</f>
        <v>11480</v>
      </c>
      <c r="D28" s="158">
        <f>C28/B28</f>
        <v>1</v>
      </c>
      <c r="E28" s="158">
        <f>C28/11200</f>
        <v>1.0249999999999999</v>
      </c>
      <c r="F28" s="148"/>
    </row>
    <row r="29" spans="1:6" s="4" customFormat="1" ht="20.25" customHeight="1">
      <c r="A29" s="288"/>
      <c r="B29" s="289"/>
      <c r="C29" s="289"/>
      <c r="D29" s="290"/>
      <c r="E29" s="289"/>
      <c r="F29" s="7"/>
    </row>
    <row r="30" spans="1:6" s="4" customFormat="1" ht="20.25" customHeight="1">
      <c r="D30" s="153"/>
      <c r="F30" s="7" t="s">
        <v>2</v>
      </c>
    </row>
    <row r="31" spans="1:6" s="4" customFormat="1" ht="20.25" customHeight="1">
      <c r="D31" s="153"/>
      <c r="F31" s="7" t="s">
        <v>2</v>
      </c>
    </row>
    <row r="32" spans="1:6" s="4" customFormat="1" ht="20.25" customHeight="1">
      <c r="D32" s="153"/>
      <c r="F32" s="7" t="s">
        <v>2</v>
      </c>
    </row>
    <row r="33" spans="4:4" s="4" customFormat="1" ht="24" customHeight="1">
      <c r="D33" s="153"/>
    </row>
  </sheetData>
  <mergeCells count="2">
    <mergeCell ref="A2:E2"/>
    <mergeCell ref="A29:E29"/>
  </mergeCells>
  <phoneticPr fontId="1" type="noConversion"/>
  <pageMargins left="0.98425196850393704" right="0.74803149606299213" top="0.98425196850393704" bottom="0.98425196850393704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"/>
  <sheetViews>
    <sheetView showGridLines="0" showZeros="0" workbookViewId="0">
      <selection activeCell="A13" sqref="A13:XFD13"/>
    </sheetView>
  </sheetViews>
  <sheetFormatPr defaultRowHeight="12.75" customHeight="1"/>
  <cols>
    <col min="1" max="1" width="27.625" style="44" customWidth="1"/>
    <col min="2" max="4" width="10" style="44" customWidth="1"/>
    <col min="5" max="5" width="10" style="66" customWidth="1"/>
    <col min="6" max="7" width="10" style="48" customWidth="1"/>
    <col min="8" max="241" width="9" style="48"/>
    <col min="242" max="242" width="65.375" style="48" customWidth="1"/>
    <col min="243" max="248" width="21.25" style="48" customWidth="1"/>
    <col min="249" max="249" width="8" style="48" customWidth="1"/>
    <col min="250" max="250" width="6" style="48" customWidth="1"/>
    <col min="251" max="497" width="9" style="48"/>
    <col min="498" max="498" width="65.375" style="48" customWidth="1"/>
    <col min="499" max="504" width="21.25" style="48" customWidth="1"/>
    <col min="505" max="505" width="8" style="48" customWidth="1"/>
    <col min="506" max="506" width="6" style="48" customWidth="1"/>
    <col min="507" max="753" width="9" style="48"/>
    <col min="754" max="754" width="65.375" style="48" customWidth="1"/>
    <col min="755" max="760" width="21.25" style="48" customWidth="1"/>
    <col min="761" max="761" width="8" style="48" customWidth="1"/>
    <col min="762" max="762" width="6" style="48" customWidth="1"/>
    <col min="763" max="1009" width="9" style="48"/>
    <col min="1010" max="1010" width="65.375" style="48" customWidth="1"/>
    <col min="1011" max="1016" width="21.25" style="48" customWidth="1"/>
    <col min="1017" max="1017" width="8" style="48" customWidth="1"/>
    <col min="1018" max="1018" width="6" style="48" customWidth="1"/>
    <col min="1019" max="1265" width="9" style="48"/>
    <col min="1266" max="1266" width="65.375" style="48" customWidth="1"/>
    <col min="1267" max="1272" width="21.25" style="48" customWidth="1"/>
    <col min="1273" max="1273" width="8" style="48" customWidth="1"/>
    <col min="1274" max="1274" width="6" style="48" customWidth="1"/>
    <col min="1275" max="1521" width="9" style="48"/>
    <col min="1522" max="1522" width="65.375" style="48" customWidth="1"/>
    <col min="1523" max="1528" width="21.25" style="48" customWidth="1"/>
    <col min="1529" max="1529" width="8" style="48" customWidth="1"/>
    <col min="1530" max="1530" width="6" style="48" customWidth="1"/>
    <col min="1531" max="1777" width="9" style="48"/>
    <col min="1778" max="1778" width="65.375" style="48" customWidth="1"/>
    <col min="1779" max="1784" width="21.25" style="48" customWidth="1"/>
    <col min="1785" max="1785" width="8" style="48" customWidth="1"/>
    <col min="1786" max="1786" width="6" style="48" customWidth="1"/>
    <col min="1787" max="2033" width="9" style="48"/>
    <col min="2034" max="2034" width="65.375" style="48" customWidth="1"/>
    <col min="2035" max="2040" width="21.25" style="48" customWidth="1"/>
    <col min="2041" max="2041" width="8" style="48" customWidth="1"/>
    <col min="2042" max="2042" width="6" style="48" customWidth="1"/>
    <col min="2043" max="2289" width="9" style="48"/>
    <col min="2290" max="2290" width="65.375" style="48" customWidth="1"/>
    <col min="2291" max="2296" width="21.25" style="48" customWidth="1"/>
    <col min="2297" max="2297" width="8" style="48" customWidth="1"/>
    <col min="2298" max="2298" width="6" style="48" customWidth="1"/>
    <col min="2299" max="2545" width="9" style="48"/>
    <col min="2546" max="2546" width="65.375" style="48" customWidth="1"/>
    <col min="2547" max="2552" width="21.25" style="48" customWidth="1"/>
    <col min="2553" max="2553" width="8" style="48" customWidth="1"/>
    <col min="2554" max="2554" width="6" style="48" customWidth="1"/>
    <col min="2555" max="2801" width="9" style="48"/>
    <col min="2802" max="2802" width="65.375" style="48" customWidth="1"/>
    <col min="2803" max="2808" width="21.25" style="48" customWidth="1"/>
    <col min="2809" max="2809" width="8" style="48" customWidth="1"/>
    <col min="2810" max="2810" width="6" style="48" customWidth="1"/>
    <col min="2811" max="3057" width="9" style="48"/>
    <col min="3058" max="3058" width="65.375" style="48" customWidth="1"/>
    <col min="3059" max="3064" width="21.25" style="48" customWidth="1"/>
    <col min="3065" max="3065" width="8" style="48" customWidth="1"/>
    <col min="3066" max="3066" width="6" style="48" customWidth="1"/>
    <col min="3067" max="3313" width="9" style="48"/>
    <col min="3314" max="3314" width="65.375" style="48" customWidth="1"/>
    <col min="3315" max="3320" width="21.25" style="48" customWidth="1"/>
    <col min="3321" max="3321" width="8" style="48" customWidth="1"/>
    <col min="3322" max="3322" width="6" style="48" customWidth="1"/>
    <col min="3323" max="3569" width="9" style="48"/>
    <col min="3570" max="3570" width="65.375" style="48" customWidth="1"/>
    <col min="3571" max="3576" width="21.25" style="48" customWidth="1"/>
    <col min="3577" max="3577" width="8" style="48" customWidth="1"/>
    <col min="3578" max="3578" width="6" style="48" customWidth="1"/>
    <col min="3579" max="3825" width="9" style="48"/>
    <col min="3826" max="3826" width="65.375" style="48" customWidth="1"/>
    <col min="3827" max="3832" width="21.25" style="48" customWidth="1"/>
    <col min="3833" max="3833" width="8" style="48" customWidth="1"/>
    <col min="3834" max="3834" width="6" style="48" customWidth="1"/>
    <col min="3835" max="4081" width="9" style="48"/>
    <col min="4082" max="4082" width="65.375" style="48" customWidth="1"/>
    <col min="4083" max="4088" width="21.25" style="48" customWidth="1"/>
    <col min="4089" max="4089" width="8" style="48" customWidth="1"/>
    <col min="4090" max="4090" width="6" style="48" customWidth="1"/>
    <col min="4091" max="4337" width="9" style="48"/>
    <col min="4338" max="4338" width="65.375" style="48" customWidth="1"/>
    <col min="4339" max="4344" width="21.25" style="48" customWidth="1"/>
    <col min="4345" max="4345" width="8" style="48" customWidth="1"/>
    <col min="4346" max="4346" width="6" style="48" customWidth="1"/>
    <col min="4347" max="4593" width="9" style="48"/>
    <col min="4594" max="4594" width="65.375" style="48" customWidth="1"/>
    <col min="4595" max="4600" width="21.25" style="48" customWidth="1"/>
    <col min="4601" max="4601" width="8" style="48" customWidth="1"/>
    <col min="4602" max="4602" width="6" style="48" customWidth="1"/>
    <col min="4603" max="4849" width="9" style="48"/>
    <col min="4850" max="4850" width="65.375" style="48" customWidth="1"/>
    <col min="4851" max="4856" width="21.25" style="48" customWidth="1"/>
    <col min="4857" max="4857" width="8" style="48" customWidth="1"/>
    <col min="4858" max="4858" width="6" style="48" customWidth="1"/>
    <col min="4859" max="5105" width="9" style="48"/>
    <col min="5106" max="5106" width="65.375" style="48" customWidth="1"/>
    <col min="5107" max="5112" width="21.25" style="48" customWidth="1"/>
    <col min="5113" max="5113" width="8" style="48" customWidth="1"/>
    <col min="5114" max="5114" width="6" style="48" customWidth="1"/>
    <col min="5115" max="5361" width="9" style="48"/>
    <col min="5362" max="5362" width="65.375" style="48" customWidth="1"/>
    <col min="5363" max="5368" width="21.25" style="48" customWidth="1"/>
    <col min="5369" max="5369" width="8" style="48" customWidth="1"/>
    <col min="5370" max="5370" width="6" style="48" customWidth="1"/>
    <col min="5371" max="5617" width="9" style="48"/>
    <col min="5618" max="5618" width="65.375" style="48" customWidth="1"/>
    <col min="5619" max="5624" width="21.25" style="48" customWidth="1"/>
    <col min="5625" max="5625" width="8" style="48" customWidth="1"/>
    <col min="5626" max="5626" width="6" style="48" customWidth="1"/>
    <col min="5627" max="5873" width="9" style="48"/>
    <col min="5874" max="5874" width="65.375" style="48" customWidth="1"/>
    <col min="5875" max="5880" width="21.25" style="48" customWidth="1"/>
    <col min="5881" max="5881" width="8" style="48" customWidth="1"/>
    <col min="5882" max="5882" width="6" style="48" customWidth="1"/>
    <col min="5883" max="6129" width="9" style="48"/>
    <col min="6130" max="6130" width="65.375" style="48" customWidth="1"/>
    <col min="6131" max="6136" width="21.25" style="48" customWidth="1"/>
    <col min="6137" max="6137" width="8" style="48" customWidth="1"/>
    <col min="6138" max="6138" width="6" style="48" customWidth="1"/>
    <col min="6139" max="6385" width="9" style="48"/>
    <col min="6386" max="6386" width="65.375" style="48" customWidth="1"/>
    <col min="6387" max="6392" width="21.25" style="48" customWidth="1"/>
    <col min="6393" max="6393" width="8" style="48" customWidth="1"/>
    <col min="6394" max="6394" width="6" style="48" customWidth="1"/>
    <col min="6395" max="6641" width="9" style="48"/>
    <col min="6642" max="6642" width="65.375" style="48" customWidth="1"/>
    <col min="6643" max="6648" width="21.25" style="48" customWidth="1"/>
    <col min="6649" max="6649" width="8" style="48" customWidth="1"/>
    <col min="6650" max="6650" width="6" style="48" customWidth="1"/>
    <col min="6651" max="6897" width="9" style="48"/>
    <col min="6898" max="6898" width="65.375" style="48" customWidth="1"/>
    <col min="6899" max="6904" width="21.25" style="48" customWidth="1"/>
    <col min="6905" max="6905" width="8" style="48" customWidth="1"/>
    <col min="6906" max="6906" width="6" style="48" customWidth="1"/>
    <col min="6907" max="7153" width="9" style="48"/>
    <col min="7154" max="7154" width="65.375" style="48" customWidth="1"/>
    <col min="7155" max="7160" width="21.25" style="48" customWidth="1"/>
    <col min="7161" max="7161" width="8" style="48" customWidth="1"/>
    <col min="7162" max="7162" width="6" style="48" customWidth="1"/>
    <col min="7163" max="7409" width="9" style="48"/>
    <col min="7410" max="7410" width="65.375" style="48" customWidth="1"/>
    <col min="7411" max="7416" width="21.25" style="48" customWidth="1"/>
    <col min="7417" max="7417" width="8" style="48" customWidth="1"/>
    <col min="7418" max="7418" width="6" style="48" customWidth="1"/>
    <col min="7419" max="7665" width="9" style="48"/>
    <col min="7666" max="7666" width="65.375" style="48" customWidth="1"/>
    <col min="7667" max="7672" width="21.25" style="48" customWidth="1"/>
    <col min="7673" max="7673" width="8" style="48" customWidth="1"/>
    <col min="7674" max="7674" width="6" style="48" customWidth="1"/>
    <col min="7675" max="7921" width="9" style="48"/>
    <col min="7922" max="7922" width="65.375" style="48" customWidth="1"/>
    <col min="7923" max="7928" width="21.25" style="48" customWidth="1"/>
    <col min="7929" max="7929" width="8" style="48" customWidth="1"/>
    <col min="7930" max="7930" width="6" style="48" customWidth="1"/>
    <col min="7931" max="8177" width="9" style="48"/>
    <col min="8178" max="8178" width="65.375" style="48" customWidth="1"/>
    <col min="8179" max="8184" width="21.25" style="48" customWidth="1"/>
    <col min="8185" max="8185" width="8" style="48" customWidth="1"/>
    <col min="8186" max="8186" width="6" style="48" customWidth="1"/>
    <col min="8187" max="8433" width="9" style="48"/>
    <col min="8434" max="8434" width="65.375" style="48" customWidth="1"/>
    <col min="8435" max="8440" width="21.25" style="48" customWidth="1"/>
    <col min="8441" max="8441" width="8" style="48" customWidth="1"/>
    <col min="8442" max="8442" width="6" style="48" customWidth="1"/>
    <col min="8443" max="8689" width="9" style="48"/>
    <col min="8690" max="8690" width="65.375" style="48" customWidth="1"/>
    <col min="8691" max="8696" width="21.25" style="48" customWidth="1"/>
    <col min="8697" max="8697" width="8" style="48" customWidth="1"/>
    <col min="8698" max="8698" width="6" style="48" customWidth="1"/>
    <col min="8699" max="8945" width="9" style="48"/>
    <col min="8946" max="8946" width="65.375" style="48" customWidth="1"/>
    <col min="8947" max="8952" width="21.25" style="48" customWidth="1"/>
    <col min="8953" max="8953" width="8" style="48" customWidth="1"/>
    <col min="8954" max="8954" width="6" style="48" customWidth="1"/>
    <col min="8955" max="9201" width="9" style="48"/>
    <col min="9202" max="9202" width="65.375" style="48" customWidth="1"/>
    <col min="9203" max="9208" width="21.25" style="48" customWidth="1"/>
    <col min="9209" max="9209" width="8" style="48" customWidth="1"/>
    <col min="9210" max="9210" width="6" style="48" customWidth="1"/>
    <col min="9211" max="9457" width="9" style="48"/>
    <col min="9458" max="9458" width="65.375" style="48" customWidth="1"/>
    <col min="9459" max="9464" width="21.25" style="48" customWidth="1"/>
    <col min="9465" max="9465" width="8" style="48" customWidth="1"/>
    <col min="9466" max="9466" width="6" style="48" customWidth="1"/>
    <col min="9467" max="9713" width="9" style="48"/>
    <col min="9714" max="9714" width="65.375" style="48" customWidth="1"/>
    <col min="9715" max="9720" width="21.25" style="48" customWidth="1"/>
    <col min="9721" max="9721" width="8" style="48" customWidth="1"/>
    <col min="9722" max="9722" width="6" style="48" customWidth="1"/>
    <col min="9723" max="9969" width="9" style="48"/>
    <col min="9970" max="9970" width="65.375" style="48" customWidth="1"/>
    <col min="9971" max="9976" width="21.25" style="48" customWidth="1"/>
    <col min="9977" max="9977" width="8" style="48" customWidth="1"/>
    <col min="9978" max="9978" width="6" style="48" customWidth="1"/>
    <col min="9979" max="10225" width="9" style="48"/>
    <col min="10226" max="10226" width="65.375" style="48" customWidth="1"/>
    <col min="10227" max="10232" width="21.25" style="48" customWidth="1"/>
    <col min="10233" max="10233" width="8" style="48" customWidth="1"/>
    <col min="10234" max="10234" width="6" style="48" customWidth="1"/>
    <col min="10235" max="10481" width="9" style="48"/>
    <col min="10482" max="10482" width="65.375" style="48" customWidth="1"/>
    <col min="10483" max="10488" width="21.25" style="48" customWidth="1"/>
    <col min="10489" max="10489" width="8" style="48" customWidth="1"/>
    <col min="10490" max="10490" width="6" style="48" customWidth="1"/>
    <col min="10491" max="10737" width="9" style="48"/>
    <col min="10738" max="10738" width="65.375" style="48" customWidth="1"/>
    <col min="10739" max="10744" width="21.25" style="48" customWidth="1"/>
    <col min="10745" max="10745" width="8" style="48" customWidth="1"/>
    <col min="10746" max="10746" width="6" style="48" customWidth="1"/>
    <col min="10747" max="10993" width="9" style="48"/>
    <col min="10994" max="10994" width="65.375" style="48" customWidth="1"/>
    <col min="10995" max="11000" width="21.25" style="48" customWidth="1"/>
    <col min="11001" max="11001" width="8" style="48" customWidth="1"/>
    <col min="11002" max="11002" width="6" style="48" customWidth="1"/>
    <col min="11003" max="11249" width="9" style="48"/>
    <col min="11250" max="11250" width="65.375" style="48" customWidth="1"/>
    <col min="11251" max="11256" width="21.25" style="48" customWidth="1"/>
    <col min="11257" max="11257" width="8" style="48" customWidth="1"/>
    <col min="11258" max="11258" width="6" style="48" customWidth="1"/>
    <col min="11259" max="11505" width="9" style="48"/>
    <col min="11506" max="11506" width="65.375" style="48" customWidth="1"/>
    <col min="11507" max="11512" width="21.25" style="48" customWidth="1"/>
    <col min="11513" max="11513" width="8" style="48" customWidth="1"/>
    <col min="11514" max="11514" width="6" style="48" customWidth="1"/>
    <col min="11515" max="11761" width="9" style="48"/>
    <col min="11762" max="11762" width="65.375" style="48" customWidth="1"/>
    <col min="11763" max="11768" width="21.25" style="48" customWidth="1"/>
    <col min="11769" max="11769" width="8" style="48" customWidth="1"/>
    <col min="11770" max="11770" width="6" style="48" customWidth="1"/>
    <col min="11771" max="12017" width="9" style="48"/>
    <col min="12018" max="12018" width="65.375" style="48" customWidth="1"/>
    <col min="12019" max="12024" width="21.25" style="48" customWidth="1"/>
    <col min="12025" max="12025" width="8" style="48" customWidth="1"/>
    <col min="12026" max="12026" width="6" style="48" customWidth="1"/>
    <col min="12027" max="12273" width="9" style="48"/>
    <col min="12274" max="12274" width="65.375" style="48" customWidth="1"/>
    <col min="12275" max="12280" width="21.25" style="48" customWidth="1"/>
    <col min="12281" max="12281" width="8" style="48" customWidth="1"/>
    <col min="12282" max="12282" width="6" style="48" customWidth="1"/>
    <col min="12283" max="12529" width="9" style="48"/>
    <col min="12530" max="12530" width="65.375" style="48" customWidth="1"/>
    <col min="12531" max="12536" width="21.25" style="48" customWidth="1"/>
    <col min="12537" max="12537" width="8" style="48" customWidth="1"/>
    <col min="12538" max="12538" width="6" style="48" customWidth="1"/>
    <col min="12539" max="12785" width="9" style="48"/>
    <col min="12786" max="12786" width="65.375" style="48" customWidth="1"/>
    <col min="12787" max="12792" width="21.25" style="48" customWidth="1"/>
    <col min="12793" max="12793" width="8" style="48" customWidth="1"/>
    <col min="12794" max="12794" width="6" style="48" customWidth="1"/>
    <col min="12795" max="13041" width="9" style="48"/>
    <col min="13042" max="13042" width="65.375" style="48" customWidth="1"/>
    <col min="13043" max="13048" width="21.25" style="48" customWidth="1"/>
    <col min="13049" max="13049" width="8" style="48" customWidth="1"/>
    <col min="13050" max="13050" width="6" style="48" customWidth="1"/>
    <col min="13051" max="13297" width="9" style="48"/>
    <col min="13298" max="13298" width="65.375" style="48" customWidth="1"/>
    <col min="13299" max="13304" width="21.25" style="48" customWidth="1"/>
    <col min="13305" max="13305" width="8" style="48" customWidth="1"/>
    <col min="13306" max="13306" width="6" style="48" customWidth="1"/>
    <col min="13307" max="13553" width="9" style="48"/>
    <col min="13554" max="13554" width="65.375" style="48" customWidth="1"/>
    <col min="13555" max="13560" width="21.25" style="48" customWidth="1"/>
    <col min="13561" max="13561" width="8" style="48" customWidth="1"/>
    <col min="13562" max="13562" width="6" style="48" customWidth="1"/>
    <col min="13563" max="13809" width="9" style="48"/>
    <col min="13810" max="13810" width="65.375" style="48" customWidth="1"/>
    <col min="13811" max="13816" width="21.25" style="48" customWidth="1"/>
    <col min="13817" max="13817" width="8" style="48" customWidth="1"/>
    <col min="13818" max="13818" width="6" style="48" customWidth="1"/>
    <col min="13819" max="14065" width="9" style="48"/>
    <col min="14066" max="14066" width="65.375" style="48" customWidth="1"/>
    <col min="14067" max="14072" width="21.25" style="48" customWidth="1"/>
    <col min="14073" max="14073" width="8" style="48" customWidth="1"/>
    <col min="14074" max="14074" width="6" style="48" customWidth="1"/>
    <col min="14075" max="14321" width="9" style="48"/>
    <col min="14322" max="14322" width="65.375" style="48" customWidth="1"/>
    <col min="14323" max="14328" width="21.25" style="48" customWidth="1"/>
    <col min="14329" max="14329" width="8" style="48" customWidth="1"/>
    <col min="14330" max="14330" width="6" style="48" customWidth="1"/>
    <col min="14331" max="14577" width="9" style="48"/>
    <col min="14578" max="14578" width="65.375" style="48" customWidth="1"/>
    <col min="14579" max="14584" width="21.25" style="48" customWidth="1"/>
    <col min="14585" max="14585" width="8" style="48" customWidth="1"/>
    <col min="14586" max="14586" width="6" style="48" customWidth="1"/>
    <col min="14587" max="14833" width="9" style="48"/>
    <col min="14834" max="14834" width="65.375" style="48" customWidth="1"/>
    <col min="14835" max="14840" width="21.25" style="48" customWidth="1"/>
    <col min="14841" max="14841" width="8" style="48" customWidth="1"/>
    <col min="14842" max="14842" width="6" style="48" customWidth="1"/>
    <col min="14843" max="15089" width="9" style="48"/>
    <col min="15090" max="15090" width="65.375" style="48" customWidth="1"/>
    <col min="15091" max="15096" width="21.25" style="48" customWidth="1"/>
    <col min="15097" max="15097" width="8" style="48" customWidth="1"/>
    <col min="15098" max="15098" width="6" style="48" customWidth="1"/>
    <col min="15099" max="15345" width="9" style="48"/>
    <col min="15346" max="15346" width="65.375" style="48" customWidth="1"/>
    <col min="15347" max="15352" width="21.25" style="48" customWidth="1"/>
    <col min="15353" max="15353" width="8" style="48" customWidth="1"/>
    <col min="15354" max="15354" width="6" style="48" customWidth="1"/>
    <col min="15355" max="15601" width="9" style="48"/>
    <col min="15602" max="15602" width="65.375" style="48" customWidth="1"/>
    <col min="15603" max="15608" width="21.25" style="48" customWidth="1"/>
    <col min="15609" max="15609" width="8" style="48" customWidth="1"/>
    <col min="15610" max="15610" width="6" style="48" customWidth="1"/>
    <col min="15611" max="15857" width="9" style="48"/>
    <col min="15858" max="15858" width="65.375" style="48" customWidth="1"/>
    <col min="15859" max="15864" width="21.25" style="48" customWidth="1"/>
    <col min="15865" max="15865" width="8" style="48" customWidth="1"/>
    <col min="15866" max="15866" width="6" style="48" customWidth="1"/>
    <col min="15867" max="16113" width="9" style="48"/>
    <col min="16114" max="16114" width="65.375" style="48" customWidth="1"/>
    <col min="16115" max="16120" width="21.25" style="48" customWidth="1"/>
    <col min="16121" max="16121" width="8" style="48" customWidth="1"/>
    <col min="16122" max="16122" width="6" style="48" customWidth="1"/>
    <col min="16123" max="16384" width="9" style="48"/>
  </cols>
  <sheetData>
    <row r="1" spans="1:8" s="8" customFormat="1" ht="20.100000000000001" customHeight="1">
      <c r="A1" s="52" t="s">
        <v>1145</v>
      </c>
      <c r="B1" s="4"/>
      <c r="C1" s="4"/>
      <c r="D1" s="4"/>
      <c r="E1" s="65"/>
    </row>
    <row r="2" spans="1:8" s="44" customFormat="1" ht="39.75" customHeight="1">
      <c r="A2" s="298" t="s">
        <v>1160</v>
      </c>
      <c r="B2" s="298"/>
      <c r="C2" s="298"/>
      <c r="D2" s="298"/>
      <c r="E2" s="298"/>
      <c r="F2" s="298"/>
      <c r="G2" s="298"/>
    </row>
    <row r="3" spans="1:8" s="44" customFormat="1" ht="25.5" customHeight="1" thickBot="1">
      <c r="A3" s="110"/>
      <c r="B3" s="110"/>
      <c r="C3" s="110"/>
      <c r="D3" s="111"/>
      <c r="E3" s="110"/>
      <c r="F3" s="110"/>
      <c r="G3" s="111" t="s">
        <v>0</v>
      </c>
    </row>
    <row r="4" spans="1:8" s="44" customFormat="1" ht="29.25" customHeight="1">
      <c r="A4" s="325" t="s">
        <v>99</v>
      </c>
      <c r="B4" s="327" t="s">
        <v>147</v>
      </c>
      <c r="C4" s="324"/>
      <c r="D4" s="328"/>
      <c r="E4" s="324" t="s">
        <v>1060</v>
      </c>
      <c r="F4" s="324"/>
      <c r="G4" s="324"/>
    </row>
    <row r="5" spans="1:8" s="44" customFormat="1" ht="30" customHeight="1" thickBot="1">
      <c r="A5" s="326"/>
      <c r="B5" s="114" t="s">
        <v>148</v>
      </c>
      <c r="C5" s="127" t="s">
        <v>149</v>
      </c>
      <c r="D5" s="115" t="s">
        <v>150</v>
      </c>
      <c r="E5" s="114" t="s">
        <v>148</v>
      </c>
      <c r="F5" s="127" t="s">
        <v>149</v>
      </c>
      <c r="G5" s="133" t="s">
        <v>150</v>
      </c>
    </row>
    <row r="6" spans="1:8" s="46" customFormat="1" ht="39" customHeight="1">
      <c r="A6" s="105" t="s">
        <v>151</v>
      </c>
      <c r="B6" s="112"/>
      <c r="C6" s="128"/>
      <c r="D6" s="106"/>
      <c r="E6" s="105">
        <v>1551</v>
      </c>
      <c r="F6" s="107">
        <v>7495</v>
      </c>
      <c r="G6" s="107">
        <f>E6-F6+6228</f>
        <v>284</v>
      </c>
      <c r="H6" s="47"/>
    </row>
    <row r="7" spans="1:8" s="46" customFormat="1" ht="39" customHeight="1">
      <c r="A7" s="105" t="s">
        <v>152</v>
      </c>
      <c r="B7" s="108"/>
      <c r="C7" s="129"/>
      <c r="D7" s="106"/>
      <c r="E7" s="105">
        <v>1231</v>
      </c>
      <c r="F7" s="107">
        <v>881</v>
      </c>
      <c r="G7" s="107">
        <f>E7-F7+563</f>
        <v>913</v>
      </c>
    </row>
    <row r="8" spans="1:8" s="46" customFormat="1" ht="39" customHeight="1">
      <c r="A8" s="105" t="s">
        <v>1149</v>
      </c>
      <c r="B8" s="273"/>
      <c r="C8" s="129"/>
      <c r="D8" s="106"/>
      <c r="E8" s="105">
        <v>4219</v>
      </c>
      <c r="F8" s="107">
        <v>3592</v>
      </c>
      <c r="G8" s="107">
        <f>E8-F8+173</f>
        <v>800</v>
      </c>
    </row>
    <row r="9" spans="1:8" s="46" customFormat="1" ht="39" customHeight="1">
      <c r="A9" s="105" t="s">
        <v>153</v>
      </c>
      <c r="B9" s="108"/>
      <c r="C9" s="129"/>
      <c r="D9" s="106"/>
      <c r="E9" s="105">
        <v>1766</v>
      </c>
      <c r="F9" s="107">
        <v>1359</v>
      </c>
      <c r="G9" s="107">
        <f>E9-F9+2636</f>
        <v>3043</v>
      </c>
    </row>
    <row r="10" spans="1:8" s="46" customFormat="1" ht="39" customHeight="1">
      <c r="A10" s="105" t="s">
        <v>154</v>
      </c>
      <c r="B10" s="108"/>
      <c r="C10" s="108"/>
      <c r="D10" s="109"/>
      <c r="E10" s="105"/>
      <c r="F10" s="107">
        <v>4296</v>
      </c>
      <c r="G10" s="107">
        <f>E10-F10+4296</f>
        <v>0</v>
      </c>
    </row>
    <row r="11" spans="1:8" s="46" customFormat="1" ht="39" customHeight="1">
      <c r="A11" s="105" t="s">
        <v>155</v>
      </c>
      <c r="B11" s="108"/>
      <c r="C11" s="108"/>
      <c r="D11" s="109"/>
      <c r="E11" s="105"/>
      <c r="F11" s="107"/>
      <c r="G11" s="107">
        <f t="shared" ref="G11:G12" si="0">E11-F11</f>
        <v>0</v>
      </c>
    </row>
    <row r="12" spans="1:8" s="46" customFormat="1" ht="39" customHeight="1">
      <c r="A12" s="105" t="s">
        <v>156</v>
      </c>
      <c r="B12" s="108"/>
      <c r="C12" s="108"/>
      <c r="D12" s="109"/>
      <c r="E12" s="105"/>
      <c r="F12" s="107"/>
      <c r="G12" s="107">
        <f t="shared" si="0"/>
        <v>0</v>
      </c>
    </row>
    <row r="13" spans="1:8" s="46" customFormat="1" ht="39" customHeight="1" thickBot="1">
      <c r="A13" s="122" t="s">
        <v>157</v>
      </c>
      <c r="B13" s="123"/>
      <c r="C13" s="131"/>
      <c r="D13" s="132"/>
      <c r="E13" s="122">
        <v>52</v>
      </c>
      <c r="F13" s="124">
        <v>48</v>
      </c>
      <c r="G13" s="124">
        <f>E13-F13+143</f>
        <v>147</v>
      </c>
    </row>
    <row r="14" spans="1:8" ht="34.5" customHeight="1" thickBot="1">
      <c r="A14" s="118" t="s">
        <v>158</v>
      </c>
      <c r="B14" s="119"/>
      <c r="C14" s="130"/>
      <c r="D14" s="120"/>
      <c r="E14" s="190">
        <f>SUM(E6:E13)</f>
        <v>8819</v>
      </c>
      <c r="F14" s="190">
        <f>SUM(F6:F13)</f>
        <v>17671</v>
      </c>
      <c r="G14" s="146">
        <f>SUM(G6:G13)</f>
        <v>5187</v>
      </c>
    </row>
  </sheetData>
  <mergeCells count="4">
    <mergeCell ref="A2:G2"/>
    <mergeCell ref="E4:G4"/>
    <mergeCell ref="A4:A5"/>
    <mergeCell ref="B4:D4"/>
  </mergeCells>
  <phoneticPr fontId="1" type="noConversion"/>
  <pageMargins left="0.6692913385826772" right="0.74803149606299213" top="0.98425196850393704" bottom="0.98425196850393704" header="0.31496062992125984" footer="0.31496062992125984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20"/>
  <sheetViews>
    <sheetView showGridLines="0" showZeros="0" topLeftCell="A7" workbookViewId="0">
      <selection activeCell="C18" sqref="C18"/>
    </sheetView>
  </sheetViews>
  <sheetFormatPr defaultRowHeight="12.75" customHeight="1"/>
  <cols>
    <col min="1" max="1" width="43.75" style="44" customWidth="1"/>
    <col min="2" max="2" width="17.875" style="44" customWidth="1"/>
    <col min="3" max="3" width="15.75" style="44" customWidth="1"/>
    <col min="4" max="4" width="9" style="66"/>
    <col min="5" max="240" width="9" style="48"/>
    <col min="241" max="241" width="65.375" style="48" customWidth="1"/>
    <col min="242" max="247" width="21.25" style="48" customWidth="1"/>
    <col min="248" max="248" width="8" style="48" customWidth="1"/>
    <col min="249" max="249" width="6" style="48" customWidth="1"/>
    <col min="250" max="496" width="9" style="48"/>
    <col min="497" max="497" width="65.375" style="48" customWidth="1"/>
    <col min="498" max="503" width="21.25" style="48" customWidth="1"/>
    <col min="504" max="504" width="8" style="48" customWidth="1"/>
    <col min="505" max="505" width="6" style="48" customWidth="1"/>
    <col min="506" max="752" width="9" style="48"/>
    <col min="753" max="753" width="65.375" style="48" customWidth="1"/>
    <col min="754" max="759" width="21.25" style="48" customWidth="1"/>
    <col min="760" max="760" width="8" style="48" customWidth="1"/>
    <col min="761" max="761" width="6" style="48" customWidth="1"/>
    <col min="762" max="1008" width="9" style="48"/>
    <col min="1009" max="1009" width="65.375" style="48" customWidth="1"/>
    <col min="1010" max="1015" width="21.25" style="48" customWidth="1"/>
    <col min="1016" max="1016" width="8" style="48" customWidth="1"/>
    <col min="1017" max="1017" width="6" style="48" customWidth="1"/>
    <col min="1018" max="1264" width="9" style="48"/>
    <col min="1265" max="1265" width="65.375" style="48" customWidth="1"/>
    <col min="1266" max="1271" width="21.25" style="48" customWidth="1"/>
    <col min="1272" max="1272" width="8" style="48" customWidth="1"/>
    <col min="1273" max="1273" width="6" style="48" customWidth="1"/>
    <col min="1274" max="1520" width="9" style="48"/>
    <col min="1521" max="1521" width="65.375" style="48" customWidth="1"/>
    <col min="1522" max="1527" width="21.25" style="48" customWidth="1"/>
    <col min="1528" max="1528" width="8" style="48" customWidth="1"/>
    <col min="1529" max="1529" width="6" style="48" customWidth="1"/>
    <col min="1530" max="1776" width="9" style="48"/>
    <col min="1777" max="1777" width="65.375" style="48" customWidth="1"/>
    <col min="1778" max="1783" width="21.25" style="48" customWidth="1"/>
    <col min="1784" max="1784" width="8" style="48" customWidth="1"/>
    <col min="1785" max="1785" width="6" style="48" customWidth="1"/>
    <col min="1786" max="2032" width="9" style="48"/>
    <col min="2033" max="2033" width="65.375" style="48" customWidth="1"/>
    <col min="2034" max="2039" width="21.25" style="48" customWidth="1"/>
    <col min="2040" max="2040" width="8" style="48" customWidth="1"/>
    <col min="2041" max="2041" width="6" style="48" customWidth="1"/>
    <col min="2042" max="2288" width="9" style="48"/>
    <col min="2289" max="2289" width="65.375" style="48" customWidth="1"/>
    <col min="2290" max="2295" width="21.25" style="48" customWidth="1"/>
    <col min="2296" max="2296" width="8" style="48" customWidth="1"/>
    <col min="2297" max="2297" width="6" style="48" customWidth="1"/>
    <col min="2298" max="2544" width="9" style="48"/>
    <col min="2545" max="2545" width="65.375" style="48" customWidth="1"/>
    <col min="2546" max="2551" width="21.25" style="48" customWidth="1"/>
    <col min="2552" max="2552" width="8" style="48" customWidth="1"/>
    <col min="2553" max="2553" width="6" style="48" customWidth="1"/>
    <col min="2554" max="2800" width="9" style="48"/>
    <col min="2801" max="2801" width="65.375" style="48" customWidth="1"/>
    <col min="2802" max="2807" width="21.25" style="48" customWidth="1"/>
    <col min="2808" max="2808" width="8" style="48" customWidth="1"/>
    <col min="2809" max="2809" width="6" style="48" customWidth="1"/>
    <col min="2810" max="3056" width="9" style="48"/>
    <col min="3057" max="3057" width="65.375" style="48" customWidth="1"/>
    <col min="3058" max="3063" width="21.25" style="48" customWidth="1"/>
    <col min="3064" max="3064" width="8" style="48" customWidth="1"/>
    <col min="3065" max="3065" width="6" style="48" customWidth="1"/>
    <col min="3066" max="3312" width="9" style="48"/>
    <col min="3313" max="3313" width="65.375" style="48" customWidth="1"/>
    <col min="3314" max="3319" width="21.25" style="48" customWidth="1"/>
    <col min="3320" max="3320" width="8" style="48" customWidth="1"/>
    <col min="3321" max="3321" width="6" style="48" customWidth="1"/>
    <col min="3322" max="3568" width="9" style="48"/>
    <col min="3569" max="3569" width="65.375" style="48" customWidth="1"/>
    <col min="3570" max="3575" width="21.25" style="48" customWidth="1"/>
    <col min="3576" max="3576" width="8" style="48" customWidth="1"/>
    <col min="3577" max="3577" width="6" style="48" customWidth="1"/>
    <col min="3578" max="3824" width="9" style="48"/>
    <col min="3825" max="3825" width="65.375" style="48" customWidth="1"/>
    <col min="3826" max="3831" width="21.25" style="48" customWidth="1"/>
    <col min="3832" max="3832" width="8" style="48" customWidth="1"/>
    <col min="3833" max="3833" width="6" style="48" customWidth="1"/>
    <col min="3834" max="4080" width="9" style="48"/>
    <col min="4081" max="4081" width="65.375" style="48" customWidth="1"/>
    <col min="4082" max="4087" width="21.25" style="48" customWidth="1"/>
    <col min="4088" max="4088" width="8" style="48" customWidth="1"/>
    <col min="4089" max="4089" width="6" style="48" customWidth="1"/>
    <col min="4090" max="4336" width="9" style="48"/>
    <col min="4337" max="4337" width="65.375" style="48" customWidth="1"/>
    <col min="4338" max="4343" width="21.25" style="48" customWidth="1"/>
    <col min="4344" max="4344" width="8" style="48" customWidth="1"/>
    <col min="4345" max="4345" width="6" style="48" customWidth="1"/>
    <col min="4346" max="4592" width="9" style="48"/>
    <col min="4593" max="4593" width="65.375" style="48" customWidth="1"/>
    <col min="4594" max="4599" width="21.25" style="48" customWidth="1"/>
    <col min="4600" max="4600" width="8" style="48" customWidth="1"/>
    <col min="4601" max="4601" width="6" style="48" customWidth="1"/>
    <col min="4602" max="4848" width="9" style="48"/>
    <col min="4849" max="4849" width="65.375" style="48" customWidth="1"/>
    <col min="4850" max="4855" width="21.25" style="48" customWidth="1"/>
    <col min="4856" max="4856" width="8" style="48" customWidth="1"/>
    <col min="4857" max="4857" width="6" style="48" customWidth="1"/>
    <col min="4858" max="5104" width="9" style="48"/>
    <col min="5105" max="5105" width="65.375" style="48" customWidth="1"/>
    <col min="5106" max="5111" width="21.25" style="48" customWidth="1"/>
    <col min="5112" max="5112" width="8" style="48" customWidth="1"/>
    <col min="5113" max="5113" width="6" style="48" customWidth="1"/>
    <col min="5114" max="5360" width="9" style="48"/>
    <col min="5361" max="5361" width="65.375" style="48" customWidth="1"/>
    <col min="5362" max="5367" width="21.25" style="48" customWidth="1"/>
    <col min="5368" max="5368" width="8" style="48" customWidth="1"/>
    <col min="5369" max="5369" width="6" style="48" customWidth="1"/>
    <col min="5370" max="5616" width="9" style="48"/>
    <col min="5617" max="5617" width="65.375" style="48" customWidth="1"/>
    <col min="5618" max="5623" width="21.25" style="48" customWidth="1"/>
    <col min="5624" max="5624" width="8" style="48" customWidth="1"/>
    <col min="5625" max="5625" width="6" style="48" customWidth="1"/>
    <col min="5626" max="5872" width="9" style="48"/>
    <col min="5873" max="5873" width="65.375" style="48" customWidth="1"/>
    <col min="5874" max="5879" width="21.25" style="48" customWidth="1"/>
    <col min="5880" max="5880" width="8" style="48" customWidth="1"/>
    <col min="5881" max="5881" width="6" style="48" customWidth="1"/>
    <col min="5882" max="6128" width="9" style="48"/>
    <col min="6129" max="6129" width="65.375" style="48" customWidth="1"/>
    <col min="6130" max="6135" width="21.25" style="48" customWidth="1"/>
    <col min="6136" max="6136" width="8" style="48" customWidth="1"/>
    <col min="6137" max="6137" width="6" style="48" customWidth="1"/>
    <col min="6138" max="6384" width="9" style="48"/>
    <col min="6385" max="6385" width="65.375" style="48" customWidth="1"/>
    <col min="6386" max="6391" width="21.25" style="48" customWidth="1"/>
    <col min="6392" max="6392" width="8" style="48" customWidth="1"/>
    <col min="6393" max="6393" width="6" style="48" customWidth="1"/>
    <col min="6394" max="6640" width="9" style="48"/>
    <col min="6641" max="6641" width="65.375" style="48" customWidth="1"/>
    <col min="6642" max="6647" width="21.25" style="48" customWidth="1"/>
    <col min="6648" max="6648" width="8" style="48" customWidth="1"/>
    <col min="6649" max="6649" width="6" style="48" customWidth="1"/>
    <col min="6650" max="6896" width="9" style="48"/>
    <col min="6897" max="6897" width="65.375" style="48" customWidth="1"/>
    <col min="6898" max="6903" width="21.25" style="48" customWidth="1"/>
    <col min="6904" max="6904" width="8" style="48" customWidth="1"/>
    <col min="6905" max="6905" width="6" style="48" customWidth="1"/>
    <col min="6906" max="7152" width="9" style="48"/>
    <col min="7153" max="7153" width="65.375" style="48" customWidth="1"/>
    <col min="7154" max="7159" width="21.25" style="48" customWidth="1"/>
    <col min="7160" max="7160" width="8" style="48" customWidth="1"/>
    <col min="7161" max="7161" width="6" style="48" customWidth="1"/>
    <col min="7162" max="7408" width="9" style="48"/>
    <col min="7409" max="7409" width="65.375" style="48" customWidth="1"/>
    <col min="7410" max="7415" width="21.25" style="48" customWidth="1"/>
    <col min="7416" max="7416" width="8" style="48" customWidth="1"/>
    <col min="7417" max="7417" width="6" style="48" customWidth="1"/>
    <col min="7418" max="7664" width="9" style="48"/>
    <col min="7665" max="7665" width="65.375" style="48" customWidth="1"/>
    <col min="7666" max="7671" width="21.25" style="48" customWidth="1"/>
    <col min="7672" max="7672" width="8" style="48" customWidth="1"/>
    <col min="7673" max="7673" width="6" style="48" customWidth="1"/>
    <col min="7674" max="7920" width="9" style="48"/>
    <col min="7921" max="7921" width="65.375" style="48" customWidth="1"/>
    <col min="7922" max="7927" width="21.25" style="48" customWidth="1"/>
    <col min="7928" max="7928" width="8" style="48" customWidth="1"/>
    <col min="7929" max="7929" width="6" style="48" customWidth="1"/>
    <col min="7930" max="8176" width="9" style="48"/>
    <col min="8177" max="8177" width="65.375" style="48" customWidth="1"/>
    <col min="8178" max="8183" width="21.25" style="48" customWidth="1"/>
    <col min="8184" max="8184" width="8" style="48" customWidth="1"/>
    <col min="8185" max="8185" width="6" style="48" customWidth="1"/>
    <col min="8186" max="8432" width="9" style="48"/>
    <col min="8433" max="8433" width="65.375" style="48" customWidth="1"/>
    <col min="8434" max="8439" width="21.25" style="48" customWidth="1"/>
    <col min="8440" max="8440" width="8" style="48" customWidth="1"/>
    <col min="8441" max="8441" width="6" style="48" customWidth="1"/>
    <col min="8442" max="8688" width="9" style="48"/>
    <col min="8689" max="8689" width="65.375" style="48" customWidth="1"/>
    <col min="8690" max="8695" width="21.25" style="48" customWidth="1"/>
    <col min="8696" max="8696" width="8" style="48" customWidth="1"/>
    <col min="8697" max="8697" width="6" style="48" customWidth="1"/>
    <col min="8698" max="8944" width="9" style="48"/>
    <col min="8945" max="8945" width="65.375" style="48" customWidth="1"/>
    <col min="8946" max="8951" width="21.25" style="48" customWidth="1"/>
    <col min="8952" max="8952" width="8" style="48" customWidth="1"/>
    <col min="8953" max="8953" width="6" style="48" customWidth="1"/>
    <col min="8954" max="9200" width="9" style="48"/>
    <col min="9201" max="9201" width="65.375" style="48" customWidth="1"/>
    <col min="9202" max="9207" width="21.25" style="48" customWidth="1"/>
    <col min="9208" max="9208" width="8" style="48" customWidth="1"/>
    <col min="9209" max="9209" width="6" style="48" customWidth="1"/>
    <col min="9210" max="9456" width="9" style="48"/>
    <col min="9457" max="9457" width="65.375" style="48" customWidth="1"/>
    <col min="9458" max="9463" width="21.25" style="48" customWidth="1"/>
    <col min="9464" max="9464" width="8" style="48" customWidth="1"/>
    <col min="9465" max="9465" width="6" style="48" customWidth="1"/>
    <col min="9466" max="9712" width="9" style="48"/>
    <col min="9713" max="9713" width="65.375" style="48" customWidth="1"/>
    <col min="9714" max="9719" width="21.25" style="48" customWidth="1"/>
    <col min="9720" max="9720" width="8" style="48" customWidth="1"/>
    <col min="9721" max="9721" width="6" style="48" customWidth="1"/>
    <col min="9722" max="9968" width="9" style="48"/>
    <col min="9969" max="9969" width="65.375" style="48" customWidth="1"/>
    <col min="9970" max="9975" width="21.25" style="48" customWidth="1"/>
    <col min="9976" max="9976" width="8" style="48" customWidth="1"/>
    <col min="9977" max="9977" width="6" style="48" customWidth="1"/>
    <col min="9978" max="10224" width="9" style="48"/>
    <col min="10225" max="10225" width="65.375" style="48" customWidth="1"/>
    <col min="10226" max="10231" width="21.25" style="48" customWidth="1"/>
    <col min="10232" max="10232" width="8" style="48" customWidth="1"/>
    <col min="10233" max="10233" width="6" style="48" customWidth="1"/>
    <col min="10234" max="10480" width="9" style="48"/>
    <col min="10481" max="10481" width="65.375" style="48" customWidth="1"/>
    <col min="10482" max="10487" width="21.25" style="48" customWidth="1"/>
    <col min="10488" max="10488" width="8" style="48" customWidth="1"/>
    <col min="10489" max="10489" width="6" style="48" customWidth="1"/>
    <col min="10490" max="10736" width="9" style="48"/>
    <col min="10737" max="10737" width="65.375" style="48" customWidth="1"/>
    <col min="10738" max="10743" width="21.25" style="48" customWidth="1"/>
    <col min="10744" max="10744" width="8" style="48" customWidth="1"/>
    <col min="10745" max="10745" width="6" style="48" customWidth="1"/>
    <col min="10746" max="10992" width="9" style="48"/>
    <col min="10993" max="10993" width="65.375" style="48" customWidth="1"/>
    <col min="10994" max="10999" width="21.25" style="48" customWidth="1"/>
    <col min="11000" max="11000" width="8" style="48" customWidth="1"/>
    <col min="11001" max="11001" width="6" style="48" customWidth="1"/>
    <col min="11002" max="11248" width="9" style="48"/>
    <col min="11249" max="11249" width="65.375" style="48" customWidth="1"/>
    <col min="11250" max="11255" width="21.25" style="48" customWidth="1"/>
    <col min="11256" max="11256" width="8" style="48" customWidth="1"/>
    <col min="11257" max="11257" width="6" style="48" customWidth="1"/>
    <col min="11258" max="11504" width="9" style="48"/>
    <col min="11505" max="11505" width="65.375" style="48" customWidth="1"/>
    <col min="11506" max="11511" width="21.25" style="48" customWidth="1"/>
    <col min="11512" max="11512" width="8" style="48" customWidth="1"/>
    <col min="11513" max="11513" width="6" style="48" customWidth="1"/>
    <col min="11514" max="11760" width="9" style="48"/>
    <col min="11761" max="11761" width="65.375" style="48" customWidth="1"/>
    <col min="11762" max="11767" width="21.25" style="48" customWidth="1"/>
    <col min="11768" max="11768" width="8" style="48" customWidth="1"/>
    <col min="11769" max="11769" width="6" style="48" customWidth="1"/>
    <col min="11770" max="12016" width="9" style="48"/>
    <col min="12017" max="12017" width="65.375" style="48" customWidth="1"/>
    <col min="12018" max="12023" width="21.25" style="48" customWidth="1"/>
    <col min="12024" max="12024" width="8" style="48" customWidth="1"/>
    <col min="12025" max="12025" width="6" style="48" customWidth="1"/>
    <col min="12026" max="12272" width="9" style="48"/>
    <col min="12273" max="12273" width="65.375" style="48" customWidth="1"/>
    <col min="12274" max="12279" width="21.25" style="48" customWidth="1"/>
    <col min="12280" max="12280" width="8" style="48" customWidth="1"/>
    <col min="12281" max="12281" width="6" style="48" customWidth="1"/>
    <col min="12282" max="12528" width="9" style="48"/>
    <col min="12529" max="12529" width="65.375" style="48" customWidth="1"/>
    <col min="12530" max="12535" width="21.25" style="48" customWidth="1"/>
    <col min="12536" max="12536" width="8" style="48" customWidth="1"/>
    <col min="12537" max="12537" width="6" style="48" customWidth="1"/>
    <col min="12538" max="12784" width="9" style="48"/>
    <col min="12785" max="12785" width="65.375" style="48" customWidth="1"/>
    <col min="12786" max="12791" width="21.25" style="48" customWidth="1"/>
    <col min="12792" max="12792" width="8" style="48" customWidth="1"/>
    <col min="12793" max="12793" width="6" style="48" customWidth="1"/>
    <col min="12794" max="13040" width="9" style="48"/>
    <col min="13041" max="13041" width="65.375" style="48" customWidth="1"/>
    <col min="13042" max="13047" width="21.25" style="48" customWidth="1"/>
    <col min="13048" max="13048" width="8" style="48" customWidth="1"/>
    <col min="13049" max="13049" width="6" style="48" customWidth="1"/>
    <col min="13050" max="13296" width="9" style="48"/>
    <col min="13297" max="13297" width="65.375" style="48" customWidth="1"/>
    <col min="13298" max="13303" width="21.25" style="48" customWidth="1"/>
    <col min="13304" max="13304" width="8" style="48" customWidth="1"/>
    <col min="13305" max="13305" width="6" style="48" customWidth="1"/>
    <col min="13306" max="13552" width="9" style="48"/>
    <col min="13553" max="13553" width="65.375" style="48" customWidth="1"/>
    <col min="13554" max="13559" width="21.25" style="48" customWidth="1"/>
    <col min="13560" max="13560" width="8" style="48" customWidth="1"/>
    <col min="13561" max="13561" width="6" style="48" customWidth="1"/>
    <col min="13562" max="13808" width="9" style="48"/>
    <col min="13809" max="13809" width="65.375" style="48" customWidth="1"/>
    <col min="13810" max="13815" width="21.25" style="48" customWidth="1"/>
    <col min="13816" max="13816" width="8" style="48" customWidth="1"/>
    <col min="13817" max="13817" width="6" style="48" customWidth="1"/>
    <col min="13818" max="14064" width="9" style="48"/>
    <col min="14065" max="14065" width="65.375" style="48" customWidth="1"/>
    <col min="14066" max="14071" width="21.25" style="48" customWidth="1"/>
    <col min="14072" max="14072" width="8" style="48" customWidth="1"/>
    <col min="14073" max="14073" width="6" style="48" customWidth="1"/>
    <col min="14074" max="14320" width="9" style="48"/>
    <col min="14321" max="14321" width="65.375" style="48" customWidth="1"/>
    <col min="14322" max="14327" width="21.25" style="48" customWidth="1"/>
    <col min="14328" max="14328" width="8" style="48" customWidth="1"/>
    <col min="14329" max="14329" width="6" style="48" customWidth="1"/>
    <col min="14330" max="14576" width="9" style="48"/>
    <col min="14577" max="14577" width="65.375" style="48" customWidth="1"/>
    <col min="14578" max="14583" width="21.25" style="48" customWidth="1"/>
    <col min="14584" max="14584" width="8" style="48" customWidth="1"/>
    <col min="14585" max="14585" width="6" style="48" customWidth="1"/>
    <col min="14586" max="14832" width="9" style="48"/>
    <col min="14833" max="14833" width="65.375" style="48" customWidth="1"/>
    <col min="14834" max="14839" width="21.25" style="48" customWidth="1"/>
    <col min="14840" max="14840" width="8" style="48" customWidth="1"/>
    <col min="14841" max="14841" width="6" style="48" customWidth="1"/>
    <col min="14842" max="15088" width="9" style="48"/>
    <col min="15089" max="15089" width="65.375" style="48" customWidth="1"/>
    <col min="15090" max="15095" width="21.25" style="48" customWidth="1"/>
    <col min="15096" max="15096" width="8" style="48" customWidth="1"/>
    <col min="15097" max="15097" width="6" style="48" customWidth="1"/>
    <col min="15098" max="15344" width="9" style="48"/>
    <col min="15345" max="15345" width="65.375" style="48" customWidth="1"/>
    <col min="15346" max="15351" width="21.25" style="48" customWidth="1"/>
    <col min="15352" max="15352" width="8" style="48" customWidth="1"/>
    <col min="15353" max="15353" width="6" style="48" customWidth="1"/>
    <col min="15354" max="15600" width="9" style="48"/>
    <col min="15601" max="15601" width="65.375" style="48" customWidth="1"/>
    <col min="15602" max="15607" width="21.25" style="48" customWidth="1"/>
    <col min="15608" max="15608" width="8" style="48" customWidth="1"/>
    <col min="15609" max="15609" width="6" style="48" customWidth="1"/>
    <col min="15610" max="15856" width="9" style="48"/>
    <col min="15857" max="15857" width="65.375" style="48" customWidth="1"/>
    <col min="15858" max="15863" width="21.25" style="48" customWidth="1"/>
    <col min="15864" max="15864" width="8" style="48" customWidth="1"/>
    <col min="15865" max="15865" width="6" style="48" customWidth="1"/>
    <col min="15866" max="16112" width="9" style="48"/>
    <col min="16113" max="16113" width="65.375" style="48" customWidth="1"/>
    <col min="16114" max="16119" width="21.25" style="48" customWidth="1"/>
    <col min="16120" max="16120" width="8" style="48" customWidth="1"/>
    <col min="16121" max="16121" width="6" style="48" customWidth="1"/>
    <col min="16122" max="16384" width="9" style="48"/>
  </cols>
  <sheetData>
    <row r="1" spans="1:7" s="8" customFormat="1" ht="20.100000000000001" customHeight="1">
      <c r="A1" s="52" t="s">
        <v>1146</v>
      </c>
      <c r="B1" s="4"/>
      <c r="C1" s="4"/>
      <c r="D1" s="65"/>
    </row>
    <row r="2" spans="1:7" s="44" customFormat="1" ht="50.1" customHeight="1">
      <c r="A2" s="298" t="s">
        <v>1161</v>
      </c>
      <c r="B2" s="298"/>
      <c r="C2" s="298"/>
    </row>
    <row r="3" spans="1:7" s="44" customFormat="1" ht="24.75" customHeight="1" thickBot="1">
      <c r="C3" s="45" t="s">
        <v>0</v>
      </c>
    </row>
    <row r="4" spans="1:7" s="44" customFormat="1" ht="24" customHeight="1">
      <c r="A4" s="329" t="s">
        <v>3</v>
      </c>
      <c r="B4" s="320" t="s">
        <v>161</v>
      </c>
      <c r="C4" s="320" t="s">
        <v>1059</v>
      </c>
    </row>
    <row r="5" spans="1:7" s="44" customFormat="1" ht="24" customHeight="1" thickBot="1">
      <c r="A5" s="330"/>
      <c r="B5" s="321"/>
      <c r="C5" s="321"/>
    </row>
    <row r="6" spans="1:7" s="46" customFormat="1" ht="36" customHeight="1">
      <c r="A6" s="104" t="s">
        <v>1162</v>
      </c>
      <c r="B6" s="56"/>
      <c r="C6" s="59">
        <v>18682</v>
      </c>
      <c r="G6" s="47"/>
    </row>
    <row r="7" spans="1:7" s="46" customFormat="1" ht="36" customHeight="1">
      <c r="A7" s="143" t="s">
        <v>159</v>
      </c>
      <c r="B7" s="58"/>
      <c r="C7" s="142">
        <v>18682</v>
      </c>
      <c r="G7" s="47"/>
    </row>
    <row r="8" spans="1:7" s="46" customFormat="1" ht="36" customHeight="1">
      <c r="A8" s="143" t="s">
        <v>160</v>
      </c>
      <c r="B8" s="58"/>
      <c r="C8" s="142"/>
      <c r="G8" s="47"/>
    </row>
    <row r="9" spans="1:7" s="46" customFormat="1" ht="36" customHeight="1">
      <c r="A9" s="51" t="s">
        <v>1163</v>
      </c>
      <c r="B9" s="56"/>
      <c r="C9" s="59"/>
    </row>
    <row r="10" spans="1:7" s="46" customFormat="1" ht="36" customHeight="1">
      <c r="A10" s="143" t="s">
        <v>159</v>
      </c>
      <c r="B10" s="58"/>
      <c r="C10" s="142"/>
      <c r="G10" s="47"/>
    </row>
    <row r="11" spans="1:7" s="46" customFormat="1" ht="36" customHeight="1">
      <c r="A11" s="143" t="s">
        <v>160</v>
      </c>
      <c r="B11" s="58"/>
      <c r="C11" s="142"/>
      <c r="G11" s="47"/>
    </row>
    <row r="12" spans="1:7" s="46" customFormat="1" ht="36" customHeight="1">
      <c r="A12" s="51" t="s">
        <v>1164</v>
      </c>
      <c r="B12" s="56"/>
      <c r="C12" s="59">
        <f>C13+C14</f>
        <v>25347</v>
      </c>
    </row>
    <row r="13" spans="1:7" s="46" customFormat="1" ht="36" customHeight="1">
      <c r="A13" s="143" t="s">
        <v>159</v>
      </c>
      <c r="B13" s="58"/>
      <c r="C13" s="142">
        <v>20747</v>
      </c>
      <c r="G13" s="47"/>
    </row>
    <row r="14" spans="1:7" s="46" customFormat="1" ht="36" customHeight="1">
      <c r="A14" s="143" t="s">
        <v>160</v>
      </c>
      <c r="B14" s="58"/>
      <c r="C14" s="142">
        <v>4600</v>
      </c>
      <c r="G14" s="47"/>
    </row>
    <row r="15" spans="1:7" s="46" customFormat="1" ht="36" customHeight="1">
      <c r="A15" s="51" t="s">
        <v>1165</v>
      </c>
      <c r="B15" s="58"/>
      <c r="C15" s="59">
        <v>1188</v>
      </c>
    </row>
    <row r="16" spans="1:7" s="46" customFormat="1" ht="36" customHeight="1">
      <c r="A16" s="143" t="s">
        <v>159</v>
      </c>
      <c r="B16" s="58"/>
      <c r="C16" s="142">
        <v>1188</v>
      </c>
      <c r="G16" s="47"/>
    </row>
    <row r="17" spans="1:7" s="46" customFormat="1" ht="36" customHeight="1">
      <c r="A17" s="143" t="s">
        <v>160</v>
      </c>
      <c r="B17" s="58"/>
      <c r="C17" s="142"/>
      <c r="G17" s="47"/>
    </row>
    <row r="18" spans="1:7" s="46" customFormat="1" ht="36" customHeight="1">
      <c r="A18" s="145" t="s">
        <v>1166</v>
      </c>
      <c r="B18" s="58"/>
      <c r="C18" s="142">
        <f>C19+C20</f>
        <v>42841</v>
      </c>
    </row>
    <row r="19" spans="1:7" s="46" customFormat="1" ht="36" customHeight="1">
      <c r="A19" s="143" t="s">
        <v>159</v>
      </c>
      <c r="B19" s="58"/>
      <c r="C19" s="142">
        <v>38241</v>
      </c>
      <c r="G19" s="47"/>
    </row>
    <row r="20" spans="1:7" s="46" customFormat="1" ht="36" customHeight="1" thickBot="1">
      <c r="A20" s="144" t="s">
        <v>160</v>
      </c>
      <c r="B20" s="57"/>
      <c r="C20" s="64">
        <v>4600</v>
      </c>
      <c r="G20" s="47"/>
    </row>
  </sheetData>
  <mergeCells count="4">
    <mergeCell ref="A2:C2"/>
    <mergeCell ref="A4:A5"/>
    <mergeCell ref="B4:B5"/>
    <mergeCell ref="C4:C5"/>
  </mergeCells>
  <phoneticPr fontId="1" type="noConversion"/>
  <pageMargins left="0.95" right="0.73" top="0.98425196850393704" bottom="0.98425196850393704" header="0.31496062992125984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124"/>
  <sheetViews>
    <sheetView showGridLines="0" topLeftCell="A1095" workbookViewId="0">
      <selection activeCell="E1124" sqref="E1124"/>
    </sheetView>
  </sheetViews>
  <sheetFormatPr defaultRowHeight="12.75" customHeight="1"/>
  <cols>
    <col min="1" max="1" width="47.625" style="1" customWidth="1"/>
    <col min="2" max="2" width="10.625" style="1" customWidth="1"/>
    <col min="3" max="3" width="10.625" style="275" customWidth="1"/>
    <col min="4" max="4" width="10.625" style="153" customWidth="1"/>
    <col min="5" max="5" width="10.625" style="281" customWidth="1"/>
    <col min="6" max="6" width="8" style="1" customWidth="1"/>
    <col min="7" max="255" width="9" style="2"/>
    <col min="256" max="256" width="43.875" style="2" customWidth="1"/>
    <col min="257" max="260" width="8.5" style="2" customWidth="1"/>
    <col min="261" max="262" width="8" style="2" customWidth="1"/>
    <col min="263" max="511" width="9" style="2"/>
    <col min="512" max="512" width="43.875" style="2" customWidth="1"/>
    <col min="513" max="516" width="8.5" style="2" customWidth="1"/>
    <col min="517" max="518" width="8" style="2" customWidth="1"/>
    <col min="519" max="767" width="9" style="2"/>
    <col min="768" max="768" width="43.875" style="2" customWidth="1"/>
    <col min="769" max="772" width="8.5" style="2" customWidth="1"/>
    <col min="773" max="774" width="8" style="2" customWidth="1"/>
    <col min="775" max="1023" width="9" style="2"/>
    <col min="1024" max="1024" width="43.875" style="2" customWidth="1"/>
    <col min="1025" max="1028" width="8.5" style="2" customWidth="1"/>
    <col min="1029" max="1030" width="8" style="2" customWidth="1"/>
    <col min="1031" max="1279" width="9" style="2"/>
    <col min="1280" max="1280" width="43.875" style="2" customWidth="1"/>
    <col min="1281" max="1284" width="8.5" style="2" customWidth="1"/>
    <col min="1285" max="1286" width="8" style="2" customWidth="1"/>
    <col min="1287" max="1535" width="9" style="2"/>
    <col min="1536" max="1536" width="43.875" style="2" customWidth="1"/>
    <col min="1537" max="1540" width="8.5" style="2" customWidth="1"/>
    <col min="1541" max="1542" width="8" style="2" customWidth="1"/>
    <col min="1543" max="1791" width="9" style="2"/>
    <col min="1792" max="1792" width="43.875" style="2" customWidth="1"/>
    <col min="1793" max="1796" width="8.5" style="2" customWidth="1"/>
    <col min="1797" max="1798" width="8" style="2" customWidth="1"/>
    <col min="1799" max="2047" width="9" style="2"/>
    <col min="2048" max="2048" width="43.875" style="2" customWidth="1"/>
    <col min="2049" max="2052" width="8.5" style="2" customWidth="1"/>
    <col min="2053" max="2054" width="8" style="2" customWidth="1"/>
    <col min="2055" max="2303" width="9" style="2"/>
    <col min="2304" max="2304" width="43.875" style="2" customWidth="1"/>
    <col min="2305" max="2308" width="8.5" style="2" customWidth="1"/>
    <col min="2309" max="2310" width="8" style="2" customWidth="1"/>
    <col min="2311" max="2559" width="9" style="2"/>
    <col min="2560" max="2560" width="43.875" style="2" customWidth="1"/>
    <col min="2561" max="2564" width="8.5" style="2" customWidth="1"/>
    <col min="2565" max="2566" width="8" style="2" customWidth="1"/>
    <col min="2567" max="2815" width="9" style="2"/>
    <col min="2816" max="2816" width="43.875" style="2" customWidth="1"/>
    <col min="2817" max="2820" width="8.5" style="2" customWidth="1"/>
    <col min="2821" max="2822" width="8" style="2" customWidth="1"/>
    <col min="2823" max="3071" width="9" style="2"/>
    <col min="3072" max="3072" width="43.875" style="2" customWidth="1"/>
    <col min="3073" max="3076" width="8.5" style="2" customWidth="1"/>
    <col min="3077" max="3078" width="8" style="2" customWidth="1"/>
    <col min="3079" max="3327" width="9" style="2"/>
    <col min="3328" max="3328" width="43.875" style="2" customWidth="1"/>
    <col min="3329" max="3332" width="8.5" style="2" customWidth="1"/>
    <col min="3333" max="3334" width="8" style="2" customWidth="1"/>
    <col min="3335" max="3583" width="9" style="2"/>
    <col min="3584" max="3584" width="43.875" style="2" customWidth="1"/>
    <col min="3585" max="3588" width="8.5" style="2" customWidth="1"/>
    <col min="3589" max="3590" width="8" style="2" customWidth="1"/>
    <col min="3591" max="3839" width="9" style="2"/>
    <col min="3840" max="3840" width="43.875" style="2" customWidth="1"/>
    <col min="3841" max="3844" width="8.5" style="2" customWidth="1"/>
    <col min="3845" max="3846" width="8" style="2" customWidth="1"/>
    <col min="3847" max="4095" width="9" style="2"/>
    <col min="4096" max="4096" width="43.875" style="2" customWidth="1"/>
    <col min="4097" max="4100" width="8.5" style="2" customWidth="1"/>
    <col min="4101" max="4102" width="8" style="2" customWidth="1"/>
    <col min="4103" max="4351" width="9" style="2"/>
    <col min="4352" max="4352" width="43.875" style="2" customWidth="1"/>
    <col min="4353" max="4356" width="8.5" style="2" customWidth="1"/>
    <col min="4357" max="4358" width="8" style="2" customWidth="1"/>
    <col min="4359" max="4607" width="9" style="2"/>
    <col min="4608" max="4608" width="43.875" style="2" customWidth="1"/>
    <col min="4609" max="4612" width="8.5" style="2" customWidth="1"/>
    <col min="4613" max="4614" width="8" style="2" customWidth="1"/>
    <col min="4615" max="4863" width="9" style="2"/>
    <col min="4864" max="4864" width="43.875" style="2" customWidth="1"/>
    <col min="4865" max="4868" width="8.5" style="2" customWidth="1"/>
    <col min="4869" max="4870" width="8" style="2" customWidth="1"/>
    <col min="4871" max="5119" width="9" style="2"/>
    <col min="5120" max="5120" width="43.875" style="2" customWidth="1"/>
    <col min="5121" max="5124" width="8.5" style="2" customWidth="1"/>
    <col min="5125" max="5126" width="8" style="2" customWidth="1"/>
    <col min="5127" max="5375" width="9" style="2"/>
    <col min="5376" max="5376" width="43.875" style="2" customWidth="1"/>
    <col min="5377" max="5380" width="8.5" style="2" customWidth="1"/>
    <col min="5381" max="5382" width="8" style="2" customWidth="1"/>
    <col min="5383" max="5631" width="9" style="2"/>
    <col min="5632" max="5632" width="43.875" style="2" customWidth="1"/>
    <col min="5633" max="5636" width="8.5" style="2" customWidth="1"/>
    <col min="5637" max="5638" width="8" style="2" customWidth="1"/>
    <col min="5639" max="5887" width="9" style="2"/>
    <col min="5888" max="5888" width="43.875" style="2" customWidth="1"/>
    <col min="5889" max="5892" width="8.5" style="2" customWidth="1"/>
    <col min="5893" max="5894" width="8" style="2" customWidth="1"/>
    <col min="5895" max="6143" width="9" style="2"/>
    <col min="6144" max="6144" width="43.875" style="2" customWidth="1"/>
    <col min="6145" max="6148" width="8.5" style="2" customWidth="1"/>
    <col min="6149" max="6150" width="8" style="2" customWidth="1"/>
    <col min="6151" max="6399" width="9" style="2"/>
    <col min="6400" max="6400" width="43.875" style="2" customWidth="1"/>
    <col min="6401" max="6404" width="8.5" style="2" customWidth="1"/>
    <col min="6405" max="6406" width="8" style="2" customWidth="1"/>
    <col min="6407" max="6655" width="9" style="2"/>
    <col min="6656" max="6656" width="43.875" style="2" customWidth="1"/>
    <col min="6657" max="6660" width="8.5" style="2" customWidth="1"/>
    <col min="6661" max="6662" width="8" style="2" customWidth="1"/>
    <col min="6663" max="6911" width="9" style="2"/>
    <col min="6912" max="6912" width="43.875" style="2" customWidth="1"/>
    <col min="6913" max="6916" width="8.5" style="2" customWidth="1"/>
    <col min="6917" max="6918" width="8" style="2" customWidth="1"/>
    <col min="6919" max="7167" width="9" style="2"/>
    <col min="7168" max="7168" width="43.875" style="2" customWidth="1"/>
    <col min="7169" max="7172" width="8.5" style="2" customWidth="1"/>
    <col min="7173" max="7174" width="8" style="2" customWidth="1"/>
    <col min="7175" max="7423" width="9" style="2"/>
    <col min="7424" max="7424" width="43.875" style="2" customWidth="1"/>
    <col min="7425" max="7428" width="8.5" style="2" customWidth="1"/>
    <col min="7429" max="7430" width="8" style="2" customWidth="1"/>
    <col min="7431" max="7679" width="9" style="2"/>
    <col min="7680" max="7680" width="43.875" style="2" customWidth="1"/>
    <col min="7681" max="7684" width="8.5" style="2" customWidth="1"/>
    <col min="7685" max="7686" width="8" style="2" customWidth="1"/>
    <col min="7687" max="7935" width="9" style="2"/>
    <col min="7936" max="7936" width="43.875" style="2" customWidth="1"/>
    <col min="7937" max="7940" width="8.5" style="2" customWidth="1"/>
    <col min="7941" max="7942" width="8" style="2" customWidth="1"/>
    <col min="7943" max="8191" width="9" style="2"/>
    <col min="8192" max="8192" width="43.875" style="2" customWidth="1"/>
    <col min="8193" max="8196" width="8.5" style="2" customWidth="1"/>
    <col min="8197" max="8198" width="8" style="2" customWidth="1"/>
    <col min="8199" max="8447" width="9" style="2"/>
    <col min="8448" max="8448" width="43.875" style="2" customWidth="1"/>
    <col min="8449" max="8452" width="8.5" style="2" customWidth="1"/>
    <col min="8453" max="8454" width="8" style="2" customWidth="1"/>
    <col min="8455" max="8703" width="9" style="2"/>
    <col min="8704" max="8704" width="43.875" style="2" customWidth="1"/>
    <col min="8705" max="8708" width="8.5" style="2" customWidth="1"/>
    <col min="8709" max="8710" width="8" style="2" customWidth="1"/>
    <col min="8711" max="8959" width="9" style="2"/>
    <col min="8960" max="8960" width="43.875" style="2" customWidth="1"/>
    <col min="8961" max="8964" width="8.5" style="2" customWidth="1"/>
    <col min="8965" max="8966" width="8" style="2" customWidth="1"/>
    <col min="8967" max="9215" width="9" style="2"/>
    <col min="9216" max="9216" width="43.875" style="2" customWidth="1"/>
    <col min="9217" max="9220" width="8.5" style="2" customWidth="1"/>
    <col min="9221" max="9222" width="8" style="2" customWidth="1"/>
    <col min="9223" max="9471" width="9" style="2"/>
    <col min="9472" max="9472" width="43.875" style="2" customWidth="1"/>
    <col min="9473" max="9476" width="8.5" style="2" customWidth="1"/>
    <col min="9477" max="9478" width="8" style="2" customWidth="1"/>
    <col min="9479" max="9727" width="9" style="2"/>
    <col min="9728" max="9728" width="43.875" style="2" customWidth="1"/>
    <col min="9729" max="9732" width="8.5" style="2" customWidth="1"/>
    <col min="9733" max="9734" width="8" style="2" customWidth="1"/>
    <col min="9735" max="9983" width="9" style="2"/>
    <col min="9984" max="9984" width="43.875" style="2" customWidth="1"/>
    <col min="9985" max="9988" width="8.5" style="2" customWidth="1"/>
    <col min="9989" max="9990" width="8" style="2" customWidth="1"/>
    <col min="9991" max="10239" width="9" style="2"/>
    <col min="10240" max="10240" width="43.875" style="2" customWidth="1"/>
    <col min="10241" max="10244" width="8.5" style="2" customWidth="1"/>
    <col min="10245" max="10246" width="8" style="2" customWidth="1"/>
    <col min="10247" max="10495" width="9" style="2"/>
    <col min="10496" max="10496" width="43.875" style="2" customWidth="1"/>
    <col min="10497" max="10500" width="8.5" style="2" customWidth="1"/>
    <col min="10501" max="10502" width="8" style="2" customWidth="1"/>
    <col min="10503" max="10751" width="9" style="2"/>
    <col min="10752" max="10752" width="43.875" style="2" customWidth="1"/>
    <col min="10753" max="10756" width="8.5" style="2" customWidth="1"/>
    <col min="10757" max="10758" width="8" style="2" customWidth="1"/>
    <col min="10759" max="11007" width="9" style="2"/>
    <col min="11008" max="11008" width="43.875" style="2" customWidth="1"/>
    <col min="11009" max="11012" width="8.5" style="2" customWidth="1"/>
    <col min="11013" max="11014" width="8" style="2" customWidth="1"/>
    <col min="11015" max="11263" width="9" style="2"/>
    <col min="11264" max="11264" width="43.875" style="2" customWidth="1"/>
    <col min="11265" max="11268" width="8.5" style="2" customWidth="1"/>
    <col min="11269" max="11270" width="8" style="2" customWidth="1"/>
    <col min="11271" max="11519" width="9" style="2"/>
    <col min="11520" max="11520" width="43.875" style="2" customWidth="1"/>
    <col min="11521" max="11524" width="8.5" style="2" customWidth="1"/>
    <col min="11525" max="11526" width="8" style="2" customWidth="1"/>
    <col min="11527" max="11775" width="9" style="2"/>
    <col min="11776" max="11776" width="43.875" style="2" customWidth="1"/>
    <col min="11777" max="11780" width="8.5" style="2" customWidth="1"/>
    <col min="11781" max="11782" width="8" style="2" customWidth="1"/>
    <col min="11783" max="12031" width="9" style="2"/>
    <col min="12032" max="12032" width="43.875" style="2" customWidth="1"/>
    <col min="12033" max="12036" width="8.5" style="2" customWidth="1"/>
    <col min="12037" max="12038" width="8" style="2" customWidth="1"/>
    <col min="12039" max="12287" width="9" style="2"/>
    <col min="12288" max="12288" width="43.875" style="2" customWidth="1"/>
    <col min="12289" max="12292" width="8.5" style="2" customWidth="1"/>
    <col min="12293" max="12294" width="8" style="2" customWidth="1"/>
    <col min="12295" max="12543" width="9" style="2"/>
    <col min="12544" max="12544" width="43.875" style="2" customWidth="1"/>
    <col min="12545" max="12548" width="8.5" style="2" customWidth="1"/>
    <col min="12549" max="12550" width="8" style="2" customWidth="1"/>
    <col min="12551" max="12799" width="9" style="2"/>
    <col min="12800" max="12800" width="43.875" style="2" customWidth="1"/>
    <col min="12801" max="12804" width="8.5" style="2" customWidth="1"/>
    <col min="12805" max="12806" width="8" style="2" customWidth="1"/>
    <col min="12807" max="13055" width="9" style="2"/>
    <col min="13056" max="13056" width="43.875" style="2" customWidth="1"/>
    <col min="13057" max="13060" width="8.5" style="2" customWidth="1"/>
    <col min="13061" max="13062" width="8" style="2" customWidth="1"/>
    <col min="13063" max="13311" width="9" style="2"/>
    <col min="13312" max="13312" width="43.875" style="2" customWidth="1"/>
    <col min="13313" max="13316" width="8.5" style="2" customWidth="1"/>
    <col min="13317" max="13318" width="8" style="2" customWidth="1"/>
    <col min="13319" max="13567" width="9" style="2"/>
    <col min="13568" max="13568" width="43.875" style="2" customWidth="1"/>
    <col min="13569" max="13572" width="8.5" style="2" customWidth="1"/>
    <col min="13573" max="13574" width="8" style="2" customWidth="1"/>
    <col min="13575" max="13823" width="9" style="2"/>
    <col min="13824" max="13824" width="43.875" style="2" customWidth="1"/>
    <col min="13825" max="13828" width="8.5" style="2" customWidth="1"/>
    <col min="13829" max="13830" width="8" style="2" customWidth="1"/>
    <col min="13831" max="14079" width="9" style="2"/>
    <col min="14080" max="14080" width="43.875" style="2" customWidth="1"/>
    <col min="14081" max="14084" width="8.5" style="2" customWidth="1"/>
    <col min="14085" max="14086" width="8" style="2" customWidth="1"/>
    <col min="14087" max="14335" width="9" style="2"/>
    <col min="14336" max="14336" width="43.875" style="2" customWidth="1"/>
    <col min="14337" max="14340" width="8.5" style="2" customWidth="1"/>
    <col min="14341" max="14342" width="8" style="2" customWidth="1"/>
    <col min="14343" max="14591" width="9" style="2"/>
    <col min="14592" max="14592" width="43.875" style="2" customWidth="1"/>
    <col min="14593" max="14596" width="8.5" style="2" customWidth="1"/>
    <col min="14597" max="14598" width="8" style="2" customWidth="1"/>
    <col min="14599" max="14847" width="9" style="2"/>
    <col min="14848" max="14848" width="43.875" style="2" customWidth="1"/>
    <col min="14849" max="14852" width="8.5" style="2" customWidth="1"/>
    <col min="14853" max="14854" width="8" style="2" customWidth="1"/>
    <col min="14855" max="15103" width="9" style="2"/>
    <col min="15104" max="15104" width="43.875" style="2" customWidth="1"/>
    <col min="15105" max="15108" width="8.5" style="2" customWidth="1"/>
    <col min="15109" max="15110" width="8" style="2" customWidth="1"/>
    <col min="15111" max="15359" width="9" style="2"/>
    <col min="15360" max="15360" width="43.875" style="2" customWidth="1"/>
    <col min="15361" max="15364" width="8.5" style="2" customWidth="1"/>
    <col min="15365" max="15366" width="8" style="2" customWidth="1"/>
    <col min="15367" max="15615" width="9" style="2"/>
    <col min="15616" max="15616" width="43.875" style="2" customWidth="1"/>
    <col min="15617" max="15620" width="8.5" style="2" customWidth="1"/>
    <col min="15621" max="15622" width="8" style="2" customWidth="1"/>
    <col min="15623" max="15871" width="9" style="2"/>
    <col min="15872" max="15872" width="43.875" style="2" customWidth="1"/>
    <col min="15873" max="15876" width="8.5" style="2" customWidth="1"/>
    <col min="15877" max="15878" width="8" style="2" customWidth="1"/>
    <col min="15879" max="16127" width="9" style="2"/>
    <col min="16128" max="16128" width="43.875" style="2" customWidth="1"/>
    <col min="16129" max="16132" width="8.5" style="2" customWidth="1"/>
    <col min="16133" max="16134" width="8" style="2" customWidth="1"/>
    <col min="16135" max="16384" width="9" style="2"/>
  </cols>
  <sheetData>
    <row r="1" spans="1:5" s="8" customFormat="1" ht="20.100000000000001" customHeight="1">
      <c r="A1" s="52" t="s">
        <v>98</v>
      </c>
      <c r="B1" s="4"/>
      <c r="C1" s="274"/>
      <c r="D1" s="153"/>
      <c r="E1" s="281"/>
    </row>
    <row r="2" spans="1:5" s="1" customFormat="1" ht="50.1" customHeight="1">
      <c r="A2" s="291" t="s">
        <v>1169</v>
      </c>
      <c r="B2" s="292"/>
      <c r="C2" s="292"/>
      <c r="D2" s="292"/>
      <c r="E2" s="292"/>
    </row>
    <row r="3" spans="1:5" s="1" customFormat="1" ht="24.75" customHeight="1" thickBot="1">
      <c r="C3" s="275"/>
      <c r="D3" s="153"/>
      <c r="E3" s="282" t="s">
        <v>0</v>
      </c>
    </row>
    <row r="4" spans="1:5" s="1" customFormat="1" ht="42" customHeight="1">
      <c r="A4" s="162" t="s">
        <v>168</v>
      </c>
      <c r="B4" s="163" t="s">
        <v>169</v>
      </c>
      <c r="C4" s="276" t="s">
        <v>170</v>
      </c>
      <c r="D4" s="183" t="s">
        <v>171</v>
      </c>
      <c r="E4" s="283" t="s">
        <v>172</v>
      </c>
    </row>
    <row r="5" spans="1:5" s="178" customFormat="1" ht="19.5" customHeight="1">
      <c r="A5" s="164" t="s">
        <v>173</v>
      </c>
      <c r="B5" s="177">
        <f>B6+B18+B27+B39+B51+B62+B73+B85+B94+B103+B118+B127+B138+B150+B160+B173+B180+B187+B193+B201+B208+B214+B220+B226+B232</f>
        <v>19237</v>
      </c>
      <c r="C5" s="277">
        <f>C6+C18+C27+C39+C51+C62+C73+C85+C94+C103+C118+C127+C138+C150+C160+C173+C180+C187+C193+C201+C208+C214+C220+C226+C232</f>
        <v>19237</v>
      </c>
      <c r="D5" s="181">
        <f>C5/B5</f>
        <v>1</v>
      </c>
      <c r="E5" s="284">
        <f>C5/18358</f>
        <v>1.0478810327922432</v>
      </c>
    </row>
    <row r="6" spans="1:5" s="1" customFormat="1" ht="19.5" customHeight="1">
      <c r="A6" s="166" t="s">
        <v>174</v>
      </c>
      <c r="B6" s="167">
        <v>626</v>
      </c>
      <c r="C6" s="278">
        <f>SUM(C7:C17)</f>
        <v>626</v>
      </c>
      <c r="D6" s="184">
        <f>C6/B6</f>
        <v>1</v>
      </c>
      <c r="E6" s="285">
        <f>C6/1807</f>
        <v>0.34643054786939681</v>
      </c>
    </row>
    <row r="7" spans="1:5" s="1" customFormat="1" ht="19.5" customHeight="1">
      <c r="A7" s="168" t="s">
        <v>175</v>
      </c>
      <c r="B7" s="169"/>
      <c r="C7" s="278">
        <v>591</v>
      </c>
      <c r="D7" s="184"/>
      <c r="E7" s="285">
        <f>C7/484</f>
        <v>1.2210743801652892</v>
      </c>
    </row>
    <row r="8" spans="1:5" s="1" customFormat="1" ht="19.5" customHeight="1">
      <c r="A8" s="170" t="s">
        <v>176</v>
      </c>
      <c r="B8" s="169"/>
      <c r="C8" s="278"/>
      <c r="D8" s="184"/>
      <c r="E8" s="285"/>
    </row>
    <row r="9" spans="1:5" s="1" customFormat="1" ht="19.5" customHeight="1">
      <c r="A9" s="170" t="s">
        <v>177</v>
      </c>
      <c r="B9" s="169"/>
      <c r="C9" s="278"/>
      <c r="D9" s="184"/>
      <c r="E9" s="285"/>
    </row>
    <row r="10" spans="1:5" s="1" customFormat="1" ht="19.5" customHeight="1">
      <c r="A10" s="170" t="s">
        <v>178</v>
      </c>
      <c r="B10" s="169"/>
      <c r="C10" s="278">
        <v>35</v>
      </c>
      <c r="D10" s="184"/>
      <c r="E10" s="285">
        <f>C10/35</f>
        <v>1</v>
      </c>
    </row>
    <row r="11" spans="1:5" s="1" customFormat="1" ht="19.5" customHeight="1">
      <c r="A11" s="170" t="s">
        <v>179</v>
      </c>
      <c r="B11" s="169"/>
      <c r="C11" s="278"/>
      <c r="D11" s="184"/>
      <c r="E11" s="285"/>
    </row>
    <row r="12" spans="1:5" s="1" customFormat="1" ht="19.5" customHeight="1">
      <c r="A12" s="170" t="s">
        <v>180</v>
      </c>
      <c r="B12" s="169"/>
      <c r="C12" s="278"/>
      <c r="D12" s="184"/>
      <c r="E12" s="285"/>
    </row>
    <row r="13" spans="1:5" s="1" customFormat="1" ht="19.5" customHeight="1">
      <c r="A13" s="170" t="s">
        <v>181</v>
      </c>
      <c r="B13" s="169"/>
      <c r="C13" s="278"/>
      <c r="D13" s="184"/>
      <c r="E13" s="285"/>
    </row>
    <row r="14" spans="1:5" s="1" customFormat="1" ht="19.5" customHeight="1">
      <c r="A14" s="170" t="s">
        <v>182</v>
      </c>
      <c r="B14" s="169"/>
      <c r="C14" s="278"/>
      <c r="D14" s="184"/>
      <c r="E14" s="285"/>
    </row>
    <row r="15" spans="1:5" s="1" customFormat="1" ht="19.5" customHeight="1">
      <c r="A15" s="170" t="s">
        <v>183</v>
      </c>
      <c r="B15" s="169"/>
      <c r="C15" s="278"/>
      <c r="D15" s="184"/>
      <c r="E15" s="285"/>
    </row>
    <row r="16" spans="1:5" s="1" customFormat="1" ht="19.5" customHeight="1">
      <c r="A16" s="170" t="s">
        <v>184</v>
      </c>
      <c r="B16" s="169"/>
      <c r="C16" s="278"/>
      <c r="D16" s="184"/>
      <c r="E16" s="285"/>
    </row>
    <row r="17" spans="1:5" s="1" customFormat="1" ht="19.5" customHeight="1">
      <c r="A17" s="170" t="s">
        <v>185</v>
      </c>
      <c r="B17" s="169"/>
      <c r="C17" s="278"/>
      <c r="D17" s="184"/>
      <c r="E17" s="285"/>
    </row>
    <row r="18" spans="1:5" s="1" customFormat="1" ht="19.5" customHeight="1">
      <c r="A18" s="166" t="s">
        <v>57</v>
      </c>
      <c r="B18" s="167">
        <v>505</v>
      </c>
      <c r="C18" s="278">
        <f>SUM(C19:C26)</f>
        <v>505</v>
      </c>
      <c r="D18" s="184">
        <f t="shared" ref="D18:D62" si="0">C18/B18</f>
        <v>1</v>
      </c>
      <c r="E18" s="285">
        <f>C18/477</f>
        <v>1.0587002096436058</v>
      </c>
    </row>
    <row r="19" spans="1:5" s="1" customFormat="1" ht="19.5" customHeight="1">
      <c r="A19" s="168" t="s">
        <v>186</v>
      </c>
      <c r="B19" s="169"/>
      <c r="C19" s="278">
        <v>485</v>
      </c>
      <c r="D19" s="184"/>
      <c r="E19" s="285">
        <f>C19/457</f>
        <v>1.0612691466083151</v>
      </c>
    </row>
    <row r="20" spans="1:5" s="1" customFormat="1" ht="19.5" customHeight="1">
      <c r="A20" s="170" t="s">
        <v>176</v>
      </c>
      <c r="B20" s="169"/>
      <c r="C20" s="278"/>
      <c r="D20" s="184"/>
      <c r="E20" s="285"/>
    </row>
    <row r="21" spans="1:5" s="1" customFormat="1" ht="19.5" customHeight="1">
      <c r="A21" s="170" t="s">
        <v>177</v>
      </c>
      <c r="B21" s="169"/>
      <c r="C21" s="278"/>
      <c r="D21" s="184"/>
      <c r="E21" s="285"/>
    </row>
    <row r="22" spans="1:5" s="1" customFormat="1" ht="19.5" customHeight="1">
      <c r="A22" s="170" t="s">
        <v>187</v>
      </c>
      <c r="B22" s="169"/>
      <c r="C22" s="278">
        <v>20</v>
      </c>
      <c r="D22" s="184"/>
      <c r="E22" s="285">
        <f>C22/20</f>
        <v>1</v>
      </c>
    </row>
    <row r="23" spans="1:5" s="1" customFormat="1" ht="19.5" customHeight="1">
      <c r="A23" s="170" t="s">
        <v>188</v>
      </c>
      <c r="B23" s="169"/>
      <c r="C23" s="278"/>
      <c r="D23" s="184"/>
      <c r="E23" s="285"/>
    </row>
    <row r="24" spans="1:5" s="1" customFormat="1" ht="19.5" customHeight="1">
      <c r="A24" s="170" t="s">
        <v>189</v>
      </c>
      <c r="B24" s="169"/>
      <c r="C24" s="278"/>
      <c r="D24" s="184"/>
      <c r="E24" s="285"/>
    </row>
    <row r="25" spans="1:5" s="1" customFormat="1" ht="19.5" customHeight="1">
      <c r="A25" s="170" t="s">
        <v>184</v>
      </c>
      <c r="B25" s="169"/>
      <c r="C25" s="278"/>
      <c r="D25" s="184"/>
      <c r="E25" s="285"/>
    </row>
    <row r="26" spans="1:5" s="1" customFormat="1" ht="19.5" customHeight="1">
      <c r="A26" s="170" t="s">
        <v>190</v>
      </c>
      <c r="B26" s="169"/>
      <c r="C26" s="278"/>
      <c r="D26" s="184"/>
      <c r="E26" s="285"/>
    </row>
    <row r="27" spans="1:5" s="1" customFormat="1" ht="19.5" customHeight="1">
      <c r="A27" s="166" t="s">
        <v>191</v>
      </c>
      <c r="B27" s="167">
        <v>7550</v>
      </c>
      <c r="C27" s="278">
        <f>SUM(C28:C38)</f>
        <v>7550</v>
      </c>
      <c r="D27" s="184">
        <f t="shared" si="0"/>
        <v>1</v>
      </c>
      <c r="E27" s="285">
        <f>C27/6702</f>
        <v>1.1265293942106833</v>
      </c>
    </row>
    <row r="28" spans="1:5" s="1" customFormat="1" ht="19.5" customHeight="1">
      <c r="A28" s="168" t="s">
        <v>186</v>
      </c>
      <c r="B28" s="169"/>
      <c r="C28" s="278">
        <v>6588</v>
      </c>
      <c r="D28" s="184"/>
      <c r="E28" s="285">
        <f>C28/6178</f>
        <v>1.0663645192618971</v>
      </c>
    </row>
    <row r="29" spans="1:5" s="1" customFormat="1" ht="19.5" customHeight="1">
      <c r="A29" s="170" t="s">
        <v>176</v>
      </c>
      <c r="B29" s="169"/>
      <c r="C29" s="278">
        <v>692</v>
      </c>
      <c r="D29" s="184"/>
      <c r="E29" s="285">
        <f>C29/120</f>
        <v>5.7666666666666666</v>
      </c>
    </row>
    <row r="30" spans="1:5" s="1" customFormat="1" ht="19.5" customHeight="1">
      <c r="A30" s="170" t="s">
        <v>177</v>
      </c>
      <c r="B30" s="169"/>
      <c r="C30" s="278"/>
      <c r="D30" s="184"/>
      <c r="E30" s="285"/>
    </row>
    <row r="31" spans="1:5" s="1" customFormat="1" ht="19.5" customHeight="1">
      <c r="A31" s="170" t="s">
        <v>192</v>
      </c>
      <c r="B31" s="169"/>
      <c r="C31" s="278"/>
      <c r="D31" s="184"/>
      <c r="E31" s="285"/>
    </row>
    <row r="32" spans="1:5" s="1" customFormat="1" ht="19.5" customHeight="1">
      <c r="A32" s="170" t="s">
        <v>193</v>
      </c>
      <c r="B32" s="169"/>
      <c r="C32" s="278"/>
      <c r="D32" s="184"/>
      <c r="E32" s="285"/>
    </row>
    <row r="33" spans="1:5" ht="12.75" customHeight="1">
      <c r="A33" s="170" t="s">
        <v>194</v>
      </c>
      <c r="B33" s="169"/>
      <c r="C33" s="278"/>
      <c r="D33" s="184"/>
      <c r="E33" s="285"/>
    </row>
    <row r="34" spans="1:5" ht="19.5" customHeight="1">
      <c r="A34" s="170" t="s">
        <v>195</v>
      </c>
      <c r="B34" s="169"/>
      <c r="C34" s="278">
        <v>26</v>
      </c>
      <c r="D34" s="184"/>
      <c r="E34" s="285">
        <f>C34/22</f>
        <v>1.1818181818181819</v>
      </c>
    </row>
    <row r="35" spans="1:5" ht="19.5" customHeight="1">
      <c r="A35" s="170" t="s">
        <v>196</v>
      </c>
      <c r="B35" s="169"/>
      <c r="C35" s="278">
        <v>99</v>
      </c>
      <c r="D35" s="184"/>
      <c r="E35" s="285">
        <f>C35/94</f>
        <v>1.053191489361702</v>
      </c>
    </row>
    <row r="36" spans="1:5" ht="19.5" customHeight="1">
      <c r="A36" s="170" t="s">
        <v>197</v>
      </c>
      <c r="B36" s="169"/>
      <c r="C36" s="278"/>
      <c r="D36" s="184"/>
      <c r="E36" s="285"/>
    </row>
    <row r="37" spans="1:5" ht="19.5" customHeight="1">
      <c r="A37" s="170" t="s">
        <v>184</v>
      </c>
      <c r="B37" s="169"/>
      <c r="C37" s="278">
        <v>145</v>
      </c>
      <c r="D37" s="184"/>
      <c r="E37" s="285">
        <f>C37/288</f>
        <v>0.50347222222222221</v>
      </c>
    </row>
    <row r="38" spans="1:5" ht="19.5" customHeight="1">
      <c r="A38" s="170" t="s">
        <v>198</v>
      </c>
      <c r="B38" s="169"/>
      <c r="C38" s="278"/>
      <c r="D38" s="184"/>
      <c r="E38" s="285"/>
    </row>
    <row r="39" spans="1:5" ht="19.5" customHeight="1">
      <c r="A39" s="166" t="s">
        <v>199</v>
      </c>
      <c r="B39" s="167">
        <v>370</v>
      </c>
      <c r="C39" s="278">
        <f>SUM(C40:C50)</f>
        <v>370</v>
      </c>
      <c r="D39" s="184">
        <f t="shared" si="0"/>
        <v>1</v>
      </c>
      <c r="E39" s="285">
        <f>C39/814</f>
        <v>0.45454545454545453</v>
      </c>
    </row>
    <row r="40" spans="1:5" ht="19.5" customHeight="1">
      <c r="A40" s="168" t="s">
        <v>175</v>
      </c>
      <c r="B40" s="169"/>
      <c r="C40" s="278">
        <v>256</v>
      </c>
      <c r="D40" s="184"/>
      <c r="E40" s="285">
        <f>C40/716</f>
        <v>0.35754189944134079</v>
      </c>
    </row>
    <row r="41" spans="1:5" ht="19.5" customHeight="1">
      <c r="A41" s="170" t="s">
        <v>176</v>
      </c>
      <c r="B41" s="169"/>
      <c r="C41" s="278"/>
      <c r="D41" s="184"/>
      <c r="E41" s="285"/>
    </row>
    <row r="42" spans="1:5" ht="19.5" customHeight="1">
      <c r="A42" s="170" t="s">
        <v>177</v>
      </c>
      <c r="B42" s="169"/>
      <c r="C42" s="278"/>
      <c r="D42" s="184"/>
      <c r="E42" s="285"/>
    </row>
    <row r="43" spans="1:5" ht="19.5" customHeight="1">
      <c r="A43" s="170" t="s">
        <v>200</v>
      </c>
      <c r="B43" s="169"/>
      <c r="C43" s="278"/>
      <c r="D43" s="184"/>
      <c r="E43" s="285"/>
    </row>
    <row r="44" spans="1:5" ht="19.5" customHeight="1">
      <c r="A44" s="170" t="s">
        <v>201</v>
      </c>
      <c r="B44" s="169"/>
      <c r="C44" s="278"/>
      <c r="D44" s="184"/>
      <c r="E44" s="285"/>
    </row>
    <row r="45" spans="1:5" ht="19.5" customHeight="1">
      <c r="A45" s="170" t="s">
        <v>202</v>
      </c>
      <c r="B45" s="169"/>
      <c r="C45" s="278"/>
      <c r="D45" s="184"/>
      <c r="E45" s="285"/>
    </row>
    <row r="46" spans="1:5" ht="19.5" customHeight="1">
      <c r="A46" s="170" t="s">
        <v>203</v>
      </c>
      <c r="B46" s="169"/>
      <c r="C46" s="278"/>
      <c r="D46" s="184"/>
      <c r="E46" s="285"/>
    </row>
    <row r="47" spans="1:5" ht="19.5" customHeight="1">
      <c r="A47" s="170" t="s">
        <v>204</v>
      </c>
      <c r="B47" s="169"/>
      <c r="C47" s="278">
        <v>114</v>
      </c>
      <c r="D47" s="184"/>
      <c r="E47" s="285">
        <f>C47/98</f>
        <v>1.1632653061224489</v>
      </c>
    </row>
    <row r="48" spans="1:5" ht="19.5" customHeight="1">
      <c r="A48" s="171" t="s">
        <v>205</v>
      </c>
      <c r="B48" s="169"/>
      <c r="C48" s="278"/>
      <c r="D48" s="184"/>
      <c r="E48" s="285"/>
    </row>
    <row r="49" spans="1:5" ht="19.5" customHeight="1">
      <c r="A49" s="170" t="s">
        <v>184</v>
      </c>
      <c r="B49" s="169"/>
      <c r="C49" s="278"/>
      <c r="D49" s="184"/>
      <c r="E49" s="285"/>
    </row>
    <row r="50" spans="1:5" ht="19.5" customHeight="1">
      <c r="A50" s="170" t="s">
        <v>206</v>
      </c>
      <c r="B50" s="169"/>
      <c r="C50" s="278"/>
      <c r="D50" s="184"/>
      <c r="E50" s="285"/>
    </row>
    <row r="51" spans="1:5" ht="19.5" customHeight="1">
      <c r="A51" s="166" t="s">
        <v>207</v>
      </c>
      <c r="B51" s="167">
        <v>224</v>
      </c>
      <c r="C51" s="278">
        <f>SUM(C52:C61)</f>
        <v>224</v>
      </c>
      <c r="D51" s="184">
        <f>C51/B51</f>
        <v>1</v>
      </c>
      <c r="E51" s="285">
        <f>C51/207</f>
        <v>1.0821256038647342</v>
      </c>
    </row>
    <row r="52" spans="1:5" ht="19.5" customHeight="1">
      <c r="A52" s="168" t="s">
        <v>186</v>
      </c>
      <c r="B52" s="169"/>
      <c r="C52" s="278">
        <v>204</v>
      </c>
      <c r="D52" s="184"/>
      <c r="E52" s="285">
        <f>C52/205</f>
        <v>0.99512195121951219</v>
      </c>
    </row>
    <row r="53" spans="1:5" ht="19.5" customHeight="1">
      <c r="A53" s="170" t="s">
        <v>176</v>
      </c>
      <c r="B53" s="169"/>
      <c r="C53" s="278"/>
      <c r="D53" s="184"/>
      <c r="E53" s="285"/>
    </row>
    <row r="54" spans="1:5" ht="19.5" customHeight="1">
      <c r="A54" s="170" t="s">
        <v>177</v>
      </c>
      <c r="B54" s="169"/>
      <c r="C54" s="278"/>
      <c r="D54" s="184"/>
      <c r="E54" s="285"/>
    </row>
    <row r="55" spans="1:5" ht="19.5" customHeight="1">
      <c r="A55" s="170" t="s">
        <v>208</v>
      </c>
      <c r="B55" s="169"/>
      <c r="C55" s="278"/>
      <c r="D55" s="184"/>
      <c r="E55" s="285"/>
    </row>
    <row r="56" spans="1:5" ht="19.5" customHeight="1">
      <c r="A56" s="170" t="s">
        <v>209</v>
      </c>
      <c r="B56" s="169"/>
      <c r="C56" s="278"/>
      <c r="D56" s="184"/>
      <c r="E56" s="285"/>
    </row>
    <row r="57" spans="1:5" ht="19.5" customHeight="1">
      <c r="A57" s="170" t="s">
        <v>210</v>
      </c>
      <c r="B57" s="169"/>
      <c r="C57" s="278"/>
      <c r="D57" s="184"/>
      <c r="E57" s="285"/>
    </row>
    <row r="58" spans="1:5" ht="19.5" customHeight="1">
      <c r="A58" s="170" t="s">
        <v>211</v>
      </c>
      <c r="B58" s="169"/>
      <c r="C58" s="278">
        <v>20</v>
      </c>
      <c r="D58" s="184"/>
      <c r="E58" s="285">
        <f>C58/2</f>
        <v>10</v>
      </c>
    </row>
    <row r="59" spans="1:5" ht="19.5" customHeight="1">
      <c r="A59" s="170" t="s">
        <v>212</v>
      </c>
      <c r="B59" s="169"/>
      <c r="C59" s="278"/>
      <c r="D59" s="184"/>
      <c r="E59" s="285"/>
    </row>
    <row r="60" spans="1:5" ht="19.5" customHeight="1">
      <c r="A60" s="170" t="s">
        <v>184</v>
      </c>
      <c r="B60" s="169"/>
      <c r="C60" s="278"/>
      <c r="D60" s="184"/>
      <c r="E60" s="285"/>
    </row>
    <row r="61" spans="1:5" ht="19.5" customHeight="1">
      <c r="A61" s="170" t="s">
        <v>213</v>
      </c>
      <c r="B61" s="169"/>
      <c r="C61" s="278"/>
      <c r="D61" s="184"/>
      <c r="E61" s="285"/>
    </row>
    <row r="62" spans="1:5" ht="19.5" customHeight="1">
      <c r="A62" s="166" t="s">
        <v>214</v>
      </c>
      <c r="B62" s="167">
        <v>510</v>
      </c>
      <c r="C62" s="278">
        <f>SUM(C63:C72)</f>
        <v>510</v>
      </c>
      <c r="D62" s="184">
        <f t="shared" si="0"/>
        <v>1</v>
      </c>
      <c r="E62" s="285">
        <f>C62/484</f>
        <v>1.0537190082644627</v>
      </c>
    </row>
    <row r="63" spans="1:5" ht="19.5" customHeight="1">
      <c r="A63" s="168" t="s">
        <v>186</v>
      </c>
      <c r="B63" s="169"/>
      <c r="C63" s="278">
        <v>510</v>
      </c>
      <c r="D63" s="184"/>
      <c r="E63" s="285">
        <f>C63/439</f>
        <v>1.1617312072892938</v>
      </c>
    </row>
    <row r="64" spans="1:5" ht="19.5" customHeight="1">
      <c r="A64" s="170" t="s">
        <v>176</v>
      </c>
      <c r="B64" s="169"/>
      <c r="C64" s="278"/>
      <c r="D64" s="184"/>
      <c r="E64" s="285"/>
    </row>
    <row r="65" spans="1:5" ht="19.5" customHeight="1">
      <c r="A65" s="170" t="s">
        <v>177</v>
      </c>
      <c r="B65" s="169"/>
      <c r="C65" s="278"/>
      <c r="D65" s="184"/>
      <c r="E65" s="285"/>
    </row>
    <row r="66" spans="1:5" ht="19.5" customHeight="1">
      <c r="A66" s="170" t="s">
        <v>215</v>
      </c>
      <c r="B66" s="169"/>
      <c r="C66" s="278"/>
      <c r="D66" s="184"/>
      <c r="E66" s="285"/>
    </row>
    <row r="67" spans="1:5" ht="19.5" customHeight="1">
      <c r="A67" s="170" t="s">
        <v>216</v>
      </c>
      <c r="B67" s="169"/>
      <c r="C67" s="278"/>
      <c r="D67" s="184"/>
      <c r="E67" s="285"/>
    </row>
    <row r="68" spans="1:5" ht="19.5" customHeight="1">
      <c r="A68" s="170" t="s">
        <v>217</v>
      </c>
      <c r="B68" s="169"/>
      <c r="C68" s="278"/>
      <c r="D68" s="184"/>
      <c r="E68" s="285"/>
    </row>
    <row r="69" spans="1:5" ht="19.5" customHeight="1">
      <c r="A69" s="170" t="s">
        <v>218</v>
      </c>
      <c r="B69" s="169"/>
      <c r="C69" s="278"/>
      <c r="D69" s="184"/>
      <c r="E69" s="285"/>
    </row>
    <row r="70" spans="1:5" ht="19.5" customHeight="1">
      <c r="A70" s="170" t="s">
        <v>219</v>
      </c>
      <c r="B70" s="169"/>
      <c r="C70" s="278"/>
      <c r="D70" s="184"/>
      <c r="E70" s="285"/>
    </row>
    <row r="71" spans="1:5" ht="19.5" customHeight="1">
      <c r="A71" s="170" t="s">
        <v>184</v>
      </c>
      <c r="B71" s="169"/>
      <c r="C71" s="278"/>
      <c r="D71" s="184"/>
      <c r="E71" s="285"/>
    </row>
    <row r="72" spans="1:5" ht="19.5" customHeight="1">
      <c r="A72" s="170" t="s">
        <v>220</v>
      </c>
      <c r="B72" s="169"/>
      <c r="C72" s="278"/>
      <c r="D72" s="184"/>
      <c r="E72" s="285"/>
    </row>
    <row r="73" spans="1:5" ht="19.5" customHeight="1">
      <c r="A73" s="166" t="s">
        <v>221</v>
      </c>
      <c r="B73" s="167">
        <v>70</v>
      </c>
      <c r="C73" s="278">
        <f>SUM(C74:C84)</f>
        <v>70</v>
      </c>
      <c r="D73" s="184">
        <f t="shared" ref="D73:D127" si="1">C73/B73</f>
        <v>1</v>
      </c>
      <c r="E73" s="285">
        <f>C73/70</f>
        <v>1</v>
      </c>
    </row>
    <row r="74" spans="1:5" ht="19.5" customHeight="1">
      <c r="A74" s="168" t="s">
        <v>186</v>
      </c>
      <c r="B74" s="169"/>
      <c r="C74" s="278">
        <v>70</v>
      </c>
      <c r="D74" s="184"/>
      <c r="E74" s="285">
        <f>C74/70</f>
        <v>1</v>
      </c>
    </row>
    <row r="75" spans="1:5" ht="19.5" customHeight="1">
      <c r="A75" s="170" t="s">
        <v>176</v>
      </c>
      <c r="B75" s="169"/>
      <c r="C75" s="278"/>
      <c r="D75" s="184"/>
      <c r="E75" s="285"/>
    </row>
    <row r="76" spans="1:5" ht="19.5" customHeight="1">
      <c r="A76" s="170" t="s">
        <v>177</v>
      </c>
      <c r="B76" s="169"/>
      <c r="C76" s="278"/>
      <c r="D76" s="184"/>
      <c r="E76" s="285"/>
    </row>
    <row r="77" spans="1:5" ht="19.5" customHeight="1">
      <c r="A77" s="170" t="s">
        <v>222</v>
      </c>
      <c r="B77" s="169"/>
      <c r="C77" s="278"/>
      <c r="D77" s="184"/>
      <c r="E77" s="285"/>
    </row>
    <row r="78" spans="1:5" ht="19.5" customHeight="1">
      <c r="A78" s="170" t="s">
        <v>223</v>
      </c>
      <c r="B78" s="169"/>
      <c r="C78" s="278"/>
      <c r="D78" s="184"/>
      <c r="E78" s="285"/>
    </row>
    <row r="79" spans="1:5" ht="19.5" customHeight="1">
      <c r="A79" s="170" t="s">
        <v>224</v>
      </c>
      <c r="B79" s="169"/>
      <c r="C79" s="278"/>
      <c r="D79" s="184"/>
      <c r="E79" s="285"/>
    </row>
    <row r="80" spans="1:5" ht="19.5" customHeight="1">
      <c r="A80" s="170" t="s">
        <v>225</v>
      </c>
      <c r="B80" s="169"/>
      <c r="C80" s="278"/>
      <c r="D80" s="184"/>
      <c r="E80" s="285"/>
    </row>
    <row r="81" spans="1:5" ht="19.5" customHeight="1">
      <c r="A81" s="170" t="s">
        <v>226</v>
      </c>
      <c r="B81" s="169"/>
      <c r="C81" s="278"/>
      <c r="D81" s="184"/>
      <c r="E81" s="285"/>
    </row>
    <row r="82" spans="1:5" ht="19.5" customHeight="1">
      <c r="A82" s="170" t="s">
        <v>218</v>
      </c>
      <c r="B82" s="169"/>
      <c r="C82" s="278"/>
      <c r="D82" s="184"/>
      <c r="E82" s="285"/>
    </row>
    <row r="83" spans="1:5" ht="19.5" customHeight="1">
      <c r="A83" s="170" t="s">
        <v>184</v>
      </c>
      <c r="B83" s="169"/>
      <c r="C83" s="278"/>
      <c r="D83" s="184"/>
      <c r="E83" s="285"/>
    </row>
    <row r="84" spans="1:5" ht="19.5" customHeight="1">
      <c r="A84" s="170" t="s">
        <v>227</v>
      </c>
      <c r="B84" s="169"/>
      <c r="C84" s="278"/>
      <c r="D84" s="184"/>
      <c r="E84" s="285"/>
    </row>
    <row r="85" spans="1:5" ht="19.5" customHeight="1">
      <c r="A85" s="166" t="s">
        <v>228</v>
      </c>
      <c r="B85" s="167">
        <v>316</v>
      </c>
      <c r="C85" s="278">
        <f>SUM(C86:C93)</f>
        <v>316</v>
      </c>
      <c r="D85" s="184">
        <f t="shared" si="1"/>
        <v>1</v>
      </c>
      <c r="E85" s="285">
        <f>C85/184</f>
        <v>1.7173913043478262</v>
      </c>
    </row>
    <row r="86" spans="1:5" ht="19.5" customHeight="1">
      <c r="A86" s="168" t="s">
        <v>186</v>
      </c>
      <c r="B86" s="169"/>
      <c r="C86" s="278">
        <v>301</v>
      </c>
      <c r="D86" s="184"/>
      <c r="E86" s="285">
        <f>C86/184</f>
        <v>1.6358695652173914</v>
      </c>
    </row>
    <row r="87" spans="1:5" ht="19.5" customHeight="1">
      <c r="A87" s="170" t="s">
        <v>176</v>
      </c>
      <c r="B87" s="169"/>
      <c r="C87" s="278"/>
      <c r="D87" s="184"/>
      <c r="E87" s="285"/>
    </row>
    <row r="88" spans="1:5" ht="19.5" customHeight="1">
      <c r="A88" s="170" t="s">
        <v>177</v>
      </c>
      <c r="B88" s="169"/>
      <c r="C88" s="278"/>
      <c r="D88" s="184"/>
      <c r="E88" s="285"/>
    </row>
    <row r="89" spans="1:5" ht="19.5" customHeight="1">
      <c r="A89" s="170" t="s">
        <v>229</v>
      </c>
      <c r="B89" s="169"/>
      <c r="C89" s="278"/>
      <c r="D89" s="184"/>
      <c r="E89" s="285"/>
    </row>
    <row r="90" spans="1:5" ht="19.5" customHeight="1">
      <c r="A90" s="170" t="s">
        <v>230</v>
      </c>
      <c r="B90" s="169"/>
      <c r="C90" s="278"/>
      <c r="D90" s="184"/>
      <c r="E90" s="285"/>
    </row>
    <row r="91" spans="1:5" ht="19.5" customHeight="1">
      <c r="A91" s="170" t="s">
        <v>218</v>
      </c>
      <c r="B91" s="169"/>
      <c r="C91" s="278"/>
      <c r="D91" s="184"/>
      <c r="E91" s="285"/>
    </row>
    <row r="92" spans="1:5" ht="19.5" customHeight="1">
      <c r="A92" s="170" t="s">
        <v>184</v>
      </c>
      <c r="B92" s="169"/>
      <c r="C92" s="278"/>
      <c r="D92" s="184"/>
      <c r="E92" s="285"/>
    </row>
    <row r="93" spans="1:5" ht="19.5" customHeight="1">
      <c r="A93" s="170" t="s">
        <v>231</v>
      </c>
      <c r="B93" s="169"/>
      <c r="C93" s="278">
        <v>15</v>
      </c>
      <c r="D93" s="184"/>
      <c r="E93" s="285"/>
    </row>
    <row r="94" spans="1:5" ht="19.5" customHeight="1">
      <c r="A94" s="166" t="s">
        <v>232</v>
      </c>
      <c r="B94" s="167"/>
      <c r="C94" s="278"/>
      <c r="D94" s="184"/>
      <c r="E94" s="285"/>
    </row>
    <row r="95" spans="1:5" ht="19.5" customHeight="1">
      <c r="A95" s="168" t="s">
        <v>186</v>
      </c>
      <c r="B95" s="169"/>
      <c r="C95" s="278"/>
      <c r="D95" s="184"/>
      <c r="E95" s="285"/>
    </row>
    <row r="96" spans="1:5" ht="19.5" customHeight="1">
      <c r="A96" s="170" t="s">
        <v>176</v>
      </c>
      <c r="B96" s="169"/>
      <c r="C96" s="278"/>
      <c r="D96" s="184"/>
      <c r="E96" s="285"/>
    </row>
    <row r="97" spans="1:5" ht="19.5" customHeight="1">
      <c r="A97" s="170" t="s">
        <v>177</v>
      </c>
      <c r="B97" s="169"/>
      <c r="C97" s="278"/>
      <c r="D97" s="184"/>
      <c r="E97" s="285"/>
    </row>
    <row r="98" spans="1:5" ht="19.5" customHeight="1">
      <c r="A98" s="170" t="s">
        <v>233</v>
      </c>
      <c r="B98" s="169"/>
      <c r="C98" s="278"/>
      <c r="D98" s="184"/>
      <c r="E98" s="285"/>
    </row>
    <row r="99" spans="1:5" ht="19.5" customHeight="1">
      <c r="A99" s="170" t="s">
        <v>234</v>
      </c>
      <c r="B99" s="169"/>
      <c r="C99" s="278"/>
      <c r="D99" s="184"/>
      <c r="E99" s="285"/>
    </row>
    <row r="100" spans="1:5" ht="19.5" customHeight="1">
      <c r="A100" s="170" t="s">
        <v>218</v>
      </c>
      <c r="B100" s="169"/>
      <c r="C100" s="278"/>
      <c r="D100" s="184"/>
      <c r="E100" s="285"/>
    </row>
    <row r="101" spans="1:5" ht="19.5" customHeight="1">
      <c r="A101" s="170" t="s">
        <v>184</v>
      </c>
      <c r="B101" s="169"/>
      <c r="C101" s="278"/>
      <c r="D101" s="184"/>
      <c r="E101" s="285"/>
    </row>
    <row r="102" spans="1:5" ht="19.5" customHeight="1">
      <c r="A102" s="170" t="s">
        <v>235</v>
      </c>
      <c r="B102" s="169"/>
      <c r="C102" s="278"/>
      <c r="D102" s="184"/>
      <c r="E102" s="285"/>
    </row>
    <row r="103" spans="1:5" ht="19.5" customHeight="1">
      <c r="A103" s="166" t="s">
        <v>236</v>
      </c>
      <c r="B103" s="167">
        <v>256</v>
      </c>
      <c r="C103" s="278">
        <f>SUM(C104:C117)</f>
        <v>256</v>
      </c>
      <c r="D103" s="184">
        <f t="shared" si="1"/>
        <v>1</v>
      </c>
      <c r="E103" s="285">
        <f>C103/147</f>
        <v>1.7414965986394557</v>
      </c>
    </row>
    <row r="104" spans="1:5" ht="19.5" customHeight="1">
      <c r="A104" s="168" t="s">
        <v>186</v>
      </c>
      <c r="B104" s="169"/>
      <c r="C104" s="278">
        <v>174</v>
      </c>
      <c r="D104" s="184"/>
      <c r="E104" s="285">
        <f>C104/138</f>
        <v>1.2608695652173914</v>
      </c>
    </row>
    <row r="105" spans="1:5" ht="19.5" customHeight="1">
      <c r="A105" s="170" t="s">
        <v>176</v>
      </c>
      <c r="B105" s="169"/>
      <c r="C105" s="278"/>
      <c r="D105" s="184"/>
      <c r="E105" s="285"/>
    </row>
    <row r="106" spans="1:5" ht="19.5" customHeight="1">
      <c r="A106" s="170" t="s">
        <v>177</v>
      </c>
      <c r="B106" s="169"/>
      <c r="C106" s="278"/>
      <c r="D106" s="184"/>
      <c r="E106" s="285"/>
    </row>
    <row r="107" spans="1:5" ht="19.5" customHeight="1">
      <c r="A107" s="170" t="s">
        <v>237</v>
      </c>
      <c r="B107" s="169"/>
      <c r="C107" s="278"/>
      <c r="D107" s="184"/>
      <c r="E107" s="285"/>
    </row>
    <row r="108" spans="1:5" ht="19.5" customHeight="1">
      <c r="A108" s="170" t="s">
        <v>238</v>
      </c>
      <c r="B108" s="169"/>
      <c r="C108" s="278"/>
      <c r="D108" s="184"/>
      <c r="E108" s="285"/>
    </row>
    <row r="109" spans="1:5" ht="19.5" customHeight="1">
      <c r="A109" s="170" t="s">
        <v>239</v>
      </c>
      <c r="B109" s="169"/>
      <c r="C109" s="278"/>
      <c r="D109" s="184"/>
      <c r="E109" s="285"/>
    </row>
    <row r="110" spans="1:5" ht="19.5" customHeight="1">
      <c r="A110" s="170" t="s">
        <v>240</v>
      </c>
      <c r="B110" s="169"/>
      <c r="C110" s="278"/>
      <c r="D110" s="184"/>
      <c r="E110" s="285"/>
    </row>
    <row r="111" spans="1:5" ht="19.5" customHeight="1">
      <c r="A111" s="170" t="s">
        <v>241</v>
      </c>
      <c r="B111" s="169"/>
      <c r="C111" s="278"/>
      <c r="D111" s="184"/>
      <c r="E111" s="285"/>
    </row>
    <row r="112" spans="1:5" ht="19.5" customHeight="1">
      <c r="A112" s="170" t="s">
        <v>242</v>
      </c>
      <c r="B112" s="169"/>
      <c r="C112" s="278"/>
      <c r="D112" s="184"/>
      <c r="E112" s="285"/>
    </row>
    <row r="113" spans="1:5" ht="19.5" customHeight="1">
      <c r="A113" s="170" t="s">
        <v>243</v>
      </c>
      <c r="B113" s="169"/>
      <c r="C113" s="278"/>
      <c r="D113" s="184"/>
      <c r="E113" s="285"/>
    </row>
    <row r="114" spans="1:5" ht="19.5" customHeight="1">
      <c r="A114" s="170" t="s">
        <v>244</v>
      </c>
      <c r="B114" s="169"/>
      <c r="C114" s="278"/>
      <c r="D114" s="184"/>
      <c r="E114" s="285"/>
    </row>
    <row r="115" spans="1:5" ht="19.5" customHeight="1">
      <c r="A115" s="170" t="s">
        <v>245</v>
      </c>
      <c r="B115" s="169"/>
      <c r="C115" s="278"/>
      <c r="D115" s="184"/>
      <c r="E115" s="285"/>
    </row>
    <row r="116" spans="1:5" ht="19.5" customHeight="1">
      <c r="A116" s="170" t="s">
        <v>184</v>
      </c>
      <c r="B116" s="169"/>
      <c r="C116" s="278"/>
      <c r="D116" s="184"/>
      <c r="E116" s="285"/>
    </row>
    <row r="117" spans="1:5" ht="19.5" customHeight="1">
      <c r="A117" s="170" t="s">
        <v>246</v>
      </c>
      <c r="B117" s="169"/>
      <c r="C117" s="278">
        <v>82</v>
      </c>
      <c r="D117" s="184"/>
      <c r="E117" s="285">
        <f>C117/9</f>
        <v>9.1111111111111107</v>
      </c>
    </row>
    <row r="118" spans="1:5" ht="19.5" customHeight="1">
      <c r="A118" s="166" t="s">
        <v>965</v>
      </c>
      <c r="B118" s="169">
        <v>675</v>
      </c>
      <c r="C118" s="278">
        <f>SUM(C119:C126)</f>
        <v>675</v>
      </c>
      <c r="D118" s="184">
        <f t="shared" si="1"/>
        <v>1</v>
      </c>
      <c r="E118" s="285">
        <f>C118/398</f>
        <v>1.6959798994974875</v>
      </c>
    </row>
    <row r="119" spans="1:5" ht="19.5" customHeight="1">
      <c r="A119" s="168" t="s">
        <v>966</v>
      </c>
      <c r="B119" s="169"/>
      <c r="C119" s="278">
        <v>675</v>
      </c>
      <c r="D119" s="184"/>
      <c r="E119" s="285">
        <f>C119/398</f>
        <v>1.6959798994974875</v>
      </c>
    </row>
    <row r="120" spans="1:5" ht="19.5" customHeight="1">
      <c r="A120" s="170" t="s">
        <v>176</v>
      </c>
      <c r="B120" s="169"/>
      <c r="C120" s="278"/>
      <c r="D120" s="184"/>
      <c r="E120" s="285"/>
    </row>
    <row r="121" spans="1:5" ht="19.5" customHeight="1">
      <c r="A121" s="170" t="s">
        <v>177</v>
      </c>
      <c r="B121" s="169"/>
      <c r="C121" s="278"/>
      <c r="D121" s="184"/>
      <c r="E121" s="285"/>
    </row>
    <row r="122" spans="1:5" ht="19.5" customHeight="1">
      <c r="A122" s="170" t="s">
        <v>967</v>
      </c>
      <c r="B122" s="169"/>
      <c r="C122" s="278"/>
      <c r="D122" s="184"/>
      <c r="E122" s="285"/>
    </row>
    <row r="123" spans="1:5" ht="19.5" customHeight="1">
      <c r="A123" s="170" t="s">
        <v>968</v>
      </c>
      <c r="B123" s="169"/>
      <c r="C123" s="278"/>
      <c r="D123" s="184"/>
      <c r="E123" s="285"/>
    </row>
    <row r="124" spans="1:5" ht="19.5" customHeight="1">
      <c r="A124" s="170" t="s">
        <v>969</v>
      </c>
      <c r="B124" s="169"/>
      <c r="C124" s="278"/>
      <c r="D124" s="184"/>
      <c r="E124" s="285"/>
    </row>
    <row r="125" spans="1:5" ht="19.5" customHeight="1">
      <c r="A125" s="170" t="s">
        <v>184</v>
      </c>
      <c r="B125" s="169"/>
      <c r="C125" s="278"/>
      <c r="D125" s="184"/>
      <c r="E125" s="285"/>
    </row>
    <row r="126" spans="1:5" ht="19.5" customHeight="1">
      <c r="A126" s="170" t="s">
        <v>970</v>
      </c>
      <c r="B126" s="169"/>
      <c r="C126" s="278"/>
      <c r="D126" s="184"/>
      <c r="E126" s="285"/>
    </row>
    <row r="127" spans="1:5" ht="19.5" customHeight="1">
      <c r="A127" s="166" t="s">
        <v>247</v>
      </c>
      <c r="B127" s="167">
        <v>139</v>
      </c>
      <c r="C127" s="278">
        <f>SUM(C128:C137)</f>
        <v>139</v>
      </c>
      <c r="D127" s="184">
        <f t="shared" si="1"/>
        <v>1</v>
      </c>
      <c r="E127" s="285">
        <f>C127/142</f>
        <v>0.97887323943661975</v>
      </c>
    </row>
    <row r="128" spans="1:5" ht="19.5" customHeight="1">
      <c r="A128" s="168" t="s">
        <v>966</v>
      </c>
      <c r="B128" s="169"/>
      <c r="C128" s="278">
        <v>139</v>
      </c>
      <c r="D128" s="184"/>
      <c r="E128" s="285">
        <f>C128/142</f>
        <v>0.97887323943661975</v>
      </c>
    </row>
    <row r="129" spans="1:5" ht="19.5" customHeight="1">
      <c r="A129" s="170" t="s">
        <v>176</v>
      </c>
      <c r="B129" s="169"/>
      <c r="C129" s="278"/>
      <c r="D129" s="184"/>
      <c r="E129" s="285"/>
    </row>
    <row r="130" spans="1:5" ht="19.5" customHeight="1">
      <c r="A130" s="170" t="s">
        <v>177</v>
      </c>
      <c r="B130" s="169"/>
      <c r="C130" s="278"/>
      <c r="D130" s="184"/>
      <c r="E130" s="285"/>
    </row>
    <row r="131" spans="1:5" ht="19.5" customHeight="1">
      <c r="A131" s="170" t="s">
        <v>248</v>
      </c>
      <c r="B131" s="169"/>
      <c r="C131" s="278"/>
      <c r="D131" s="184"/>
      <c r="E131" s="285"/>
    </row>
    <row r="132" spans="1:5" ht="19.5" customHeight="1">
      <c r="A132" s="170" t="s">
        <v>249</v>
      </c>
      <c r="B132" s="169"/>
      <c r="C132" s="278"/>
      <c r="D132" s="184"/>
      <c r="E132" s="285"/>
    </row>
    <row r="133" spans="1:5" ht="19.5" customHeight="1">
      <c r="A133" s="170" t="s">
        <v>250</v>
      </c>
      <c r="B133" s="169"/>
      <c r="C133" s="278"/>
      <c r="D133" s="184"/>
      <c r="E133" s="285"/>
    </row>
    <row r="134" spans="1:5" ht="19.5" customHeight="1">
      <c r="A134" s="170" t="s">
        <v>251</v>
      </c>
      <c r="B134" s="169"/>
      <c r="C134" s="278"/>
      <c r="D134" s="184"/>
      <c r="E134" s="285"/>
    </row>
    <row r="135" spans="1:5" ht="19.5" customHeight="1">
      <c r="A135" s="170" t="s">
        <v>252</v>
      </c>
      <c r="B135" s="169"/>
      <c r="C135" s="278"/>
      <c r="D135" s="184"/>
      <c r="E135" s="285"/>
    </row>
    <row r="136" spans="1:5" ht="19.5" customHeight="1">
      <c r="A136" s="170" t="s">
        <v>184</v>
      </c>
      <c r="B136" s="169"/>
      <c r="C136" s="278"/>
      <c r="D136" s="184"/>
      <c r="E136" s="285"/>
    </row>
    <row r="137" spans="1:5" ht="19.5" customHeight="1">
      <c r="A137" s="170" t="s">
        <v>253</v>
      </c>
      <c r="B137" s="169"/>
      <c r="C137" s="278"/>
      <c r="D137" s="184"/>
      <c r="E137" s="285"/>
    </row>
    <row r="138" spans="1:5" ht="19.5" customHeight="1">
      <c r="A138" s="166" t="s">
        <v>254</v>
      </c>
      <c r="B138" s="167"/>
      <c r="C138" s="278"/>
      <c r="D138" s="184"/>
      <c r="E138" s="285"/>
    </row>
    <row r="139" spans="1:5" ht="19.5" customHeight="1">
      <c r="A139" s="168" t="s">
        <v>186</v>
      </c>
      <c r="B139" s="169"/>
      <c r="C139" s="278"/>
      <c r="D139" s="184"/>
      <c r="E139" s="285"/>
    </row>
    <row r="140" spans="1:5" ht="19.5" customHeight="1">
      <c r="A140" s="170" t="s">
        <v>176</v>
      </c>
      <c r="B140" s="169"/>
      <c r="C140" s="278"/>
      <c r="D140" s="184"/>
      <c r="E140" s="285"/>
    </row>
    <row r="141" spans="1:5" ht="19.5" customHeight="1">
      <c r="A141" s="170" t="s">
        <v>177</v>
      </c>
      <c r="B141" s="169"/>
      <c r="C141" s="278"/>
      <c r="D141" s="184"/>
      <c r="E141" s="285"/>
    </row>
    <row r="142" spans="1:5" ht="19.5" customHeight="1">
      <c r="A142" s="170" t="s">
        <v>255</v>
      </c>
      <c r="B142" s="169"/>
      <c r="C142" s="278"/>
      <c r="D142" s="184"/>
      <c r="E142" s="285"/>
    </row>
    <row r="143" spans="1:5" ht="19.5" customHeight="1">
      <c r="A143" s="170" t="s">
        <v>256</v>
      </c>
      <c r="B143" s="169"/>
      <c r="C143" s="278"/>
      <c r="D143" s="184"/>
      <c r="E143" s="285"/>
    </row>
    <row r="144" spans="1:5" ht="19.5" customHeight="1">
      <c r="A144" s="170" t="s">
        <v>257</v>
      </c>
      <c r="B144" s="169"/>
      <c r="C144" s="278"/>
      <c r="D144" s="184"/>
      <c r="E144" s="285"/>
    </row>
    <row r="145" spans="1:5" ht="19.5" customHeight="1">
      <c r="A145" s="170" t="s">
        <v>258</v>
      </c>
      <c r="B145" s="169"/>
      <c r="C145" s="278"/>
      <c r="D145" s="184"/>
      <c r="E145" s="285"/>
    </row>
    <row r="146" spans="1:5" ht="19.5" customHeight="1">
      <c r="A146" s="170" t="s">
        <v>259</v>
      </c>
      <c r="B146" s="169"/>
      <c r="C146" s="278"/>
      <c r="D146" s="184"/>
      <c r="E146" s="285"/>
    </row>
    <row r="147" spans="1:5" ht="19.5" customHeight="1">
      <c r="A147" s="170" t="s">
        <v>260</v>
      </c>
      <c r="B147" s="169"/>
      <c r="C147" s="278"/>
      <c r="D147" s="184"/>
      <c r="E147" s="285"/>
    </row>
    <row r="148" spans="1:5" ht="19.5" customHeight="1">
      <c r="A148" s="170" t="s">
        <v>184</v>
      </c>
      <c r="B148" s="169"/>
      <c r="C148" s="278"/>
      <c r="D148" s="184"/>
      <c r="E148" s="285"/>
    </row>
    <row r="149" spans="1:5" ht="19.5" customHeight="1">
      <c r="A149" s="170" t="s">
        <v>261</v>
      </c>
      <c r="B149" s="169"/>
      <c r="C149" s="278"/>
      <c r="D149" s="184"/>
      <c r="E149" s="285"/>
    </row>
    <row r="150" spans="1:5" ht="19.5" customHeight="1">
      <c r="A150" s="166" t="s">
        <v>262</v>
      </c>
      <c r="B150" s="167">
        <v>538</v>
      </c>
      <c r="C150" s="278">
        <f>SUM(C151:C159)</f>
        <v>538</v>
      </c>
      <c r="D150" s="184">
        <f t="shared" ref="D150:D193" si="2">C150/B150</f>
        <v>1</v>
      </c>
      <c r="E150" s="285">
        <f>C150/379</f>
        <v>1.4195250659630607</v>
      </c>
    </row>
    <row r="151" spans="1:5" ht="19.5" customHeight="1">
      <c r="A151" s="168" t="s">
        <v>186</v>
      </c>
      <c r="B151" s="169"/>
      <c r="C151" s="278">
        <v>458</v>
      </c>
      <c r="D151" s="184"/>
      <c r="E151" s="285">
        <f>C151/319</f>
        <v>1.4357366771159874</v>
      </c>
    </row>
    <row r="152" spans="1:5" ht="19.5" customHeight="1">
      <c r="A152" s="170" t="s">
        <v>176</v>
      </c>
      <c r="B152" s="169"/>
      <c r="C152" s="278"/>
      <c r="D152" s="184"/>
      <c r="E152" s="285"/>
    </row>
    <row r="153" spans="1:5" ht="19.5" customHeight="1">
      <c r="A153" s="170" t="s">
        <v>177</v>
      </c>
      <c r="B153" s="169"/>
      <c r="C153" s="278"/>
      <c r="D153" s="184"/>
      <c r="E153" s="285"/>
    </row>
    <row r="154" spans="1:5" ht="19.5" customHeight="1">
      <c r="A154" s="170" t="s">
        <v>263</v>
      </c>
      <c r="B154" s="169"/>
      <c r="C154" s="278"/>
      <c r="D154" s="184"/>
      <c r="E154" s="285"/>
    </row>
    <row r="155" spans="1:5" ht="19.5" customHeight="1">
      <c r="A155" s="170" t="s">
        <v>264</v>
      </c>
      <c r="B155" s="169"/>
      <c r="C155" s="278"/>
      <c r="D155" s="184"/>
      <c r="E155" s="285"/>
    </row>
    <row r="156" spans="1:5" ht="19.5" customHeight="1">
      <c r="A156" s="170" t="s">
        <v>265</v>
      </c>
      <c r="B156" s="169"/>
      <c r="C156" s="278"/>
      <c r="D156" s="184"/>
      <c r="E156" s="285"/>
    </row>
    <row r="157" spans="1:5" ht="19.5" customHeight="1">
      <c r="A157" s="170" t="s">
        <v>218</v>
      </c>
      <c r="B157" s="169"/>
      <c r="C157" s="278"/>
      <c r="D157" s="184"/>
      <c r="E157" s="285"/>
    </row>
    <row r="158" spans="1:5" ht="19.5" customHeight="1">
      <c r="A158" s="170" t="s">
        <v>184</v>
      </c>
      <c r="B158" s="169"/>
      <c r="C158" s="278"/>
      <c r="D158" s="184"/>
      <c r="E158" s="285"/>
    </row>
    <row r="159" spans="1:5" ht="19.5" customHeight="1">
      <c r="A159" s="170" t="s">
        <v>266</v>
      </c>
      <c r="B159" s="169"/>
      <c r="C159" s="278">
        <v>80</v>
      </c>
      <c r="D159" s="184"/>
      <c r="E159" s="285">
        <f>C159/60</f>
        <v>1.3333333333333333</v>
      </c>
    </row>
    <row r="160" spans="1:5" ht="19.5" customHeight="1">
      <c r="A160" s="166" t="s">
        <v>267</v>
      </c>
      <c r="B160" s="167">
        <v>27</v>
      </c>
      <c r="C160" s="278">
        <f>SUM(C161:C172)</f>
        <v>27</v>
      </c>
      <c r="D160" s="184">
        <f t="shared" si="2"/>
        <v>1</v>
      </c>
      <c r="E160" s="285">
        <f>C160/24</f>
        <v>1.125</v>
      </c>
    </row>
    <row r="161" spans="1:5" ht="19.5" customHeight="1">
      <c r="A161" s="168" t="s">
        <v>186</v>
      </c>
      <c r="B161" s="169"/>
      <c r="C161" s="278">
        <v>27</v>
      </c>
      <c r="D161" s="184"/>
      <c r="E161" s="285">
        <f>C161/19</f>
        <v>1.4210526315789473</v>
      </c>
    </row>
    <row r="162" spans="1:5" ht="19.5" customHeight="1">
      <c r="A162" s="170" t="s">
        <v>176</v>
      </c>
      <c r="B162" s="169"/>
      <c r="C162" s="278"/>
      <c r="D162" s="184"/>
      <c r="E162" s="285"/>
    </row>
    <row r="163" spans="1:5" ht="19.5" customHeight="1">
      <c r="A163" s="170" t="s">
        <v>177</v>
      </c>
      <c r="B163" s="169"/>
      <c r="C163" s="278"/>
      <c r="D163" s="184"/>
      <c r="E163" s="285"/>
    </row>
    <row r="164" spans="1:5" ht="19.5" customHeight="1">
      <c r="A164" s="170" t="s">
        <v>268</v>
      </c>
      <c r="B164" s="169"/>
      <c r="C164" s="278"/>
      <c r="D164" s="184"/>
      <c r="E164" s="285"/>
    </row>
    <row r="165" spans="1:5" ht="19.5" customHeight="1">
      <c r="A165" s="170" t="s">
        <v>269</v>
      </c>
      <c r="B165" s="169"/>
      <c r="C165" s="278"/>
      <c r="D165" s="184"/>
      <c r="E165" s="285"/>
    </row>
    <row r="166" spans="1:5" ht="19.5" customHeight="1">
      <c r="A166" s="170" t="s">
        <v>270</v>
      </c>
      <c r="B166" s="169"/>
      <c r="C166" s="278"/>
      <c r="D166" s="184"/>
      <c r="E166" s="285"/>
    </row>
    <row r="167" spans="1:5" ht="19.5" customHeight="1">
      <c r="A167" s="170" t="s">
        <v>271</v>
      </c>
      <c r="B167" s="169"/>
      <c r="C167" s="278"/>
      <c r="D167" s="184"/>
      <c r="E167" s="285"/>
    </row>
    <row r="168" spans="1:5" ht="19.5" customHeight="1">
      <c r="A168" s="170" t="s">
        <v>272</v>
      </c>
      <c r="B168" s="169"/>
      <c r="C168" s="278"/>
      <c r="D168" s="184"/>
      <c r="E168" s="285"/>
    </row>
    <row r="169" spans="1:5" ht="19.5" customHeight="1">
      <c r="A169" s="170" t="s">
        <v>273</v>
      </c>
      <c r="B169" s="169"/>
      <c r="C169" s="278"/>
      <c r="D169" s="184"/>
      <c r="E169" s="285"/>
    </row>
    <row r="170" spans="1:5" ht="19.5" customHeight="1">
      <c r="A170" s="170" t="s">
        <v>218</v>
      </c>
      <c r="B170" s="169"/>
      <c r="C170" s="278"/>
      <c r="D170" s="184"/>
      <c r="E170" s="285"/>
    </row>
    <row r="171" spans="1:5" ht="19.5" customHeight="1">
      <c r="A171" s="170" t="s">
        <v>184</v>
      </c>
      <c r="B171" s="169"/>
      <c r="C171" s="278"/>
      <c r="D171" s="184"/>
      <c r="E171" s="285"/>
    </row>
    <row r="172" spans="1:5" ht="19.5" customHeight="1">
      <c r="A172" s="170" t="s">
        <v>274</v>
      </c>
      <c r="B172" s="169"/>
      <c r="C172" s="278"/>
      <c r="D172" s="184"/>
      <c r="E172" s="285"/>
    </row>
    <row r="173" spans="1:5" ht="19.5" customHeight="1">
      <c r="A173" s="166" t="s">
        <v>275</v>
      </c>
      <c r="B173" s="167">
        <v>579</v>
      </c>
      <c r="C173" s="278">
        <f>SUM(C174:C179)</f>
        <v>579</v>
      </c>
      <c r="D173" s="184">
        <f t="shared" si="2"/>
        <v>1</v>
      </c>
      <c r="E173" s="285">
        <f>C173/9</f>
        <v>64.333333333333329</v>
      </c>
    </row>
    <row r="174" spans="1:5" ht="19.5" customHeight="1">
      <c r="A174" s="168" t="s">
        <v>186</v>
      </c>
      <c r="B174" s="169"/>
      <c r="C174" s="278"/>
      <c r="D174" s="184"/>
      <c r="E174" s="285"/>
    </row>
    <row r="175" spans="1:5" ht="19.5" customHeight="1">
      <c r="A175" s="170" t="s">
        <v>176</v>
      </c>
      <c r="B175" s="169"/>
      <c r="C175" s="278"/>
      <c r="D175" s="184"/>
      <c r="E175" s="285"/>
    </row>
    <row r="176" spans="1:5" ht="19.5" customHeight="1">
      <c r="A176" s="170" t="s">
        <v>177</v>
      </c>
      <c r="B176" s="169"/>
      <c r="C176" s="278"/>
      <c r="D176" s="184"/>
      <c r="E176" s="285"/>
    </row>
    <row r="177" spans="1:5" ht="19.5" customHeight="1">
      <c r="A177" s="170" t="s">
        <v>276</v>
      </c>
      <c r="B177" s="169"/>
      <c r="C177" s="278"/>
      <c r="D177" s="184"/>
      <c r="E177" s="285"/>
    </row>
    <row r="178" spans="1:5" ht="19.5" customHeight="1">
      <c r="A178" s="170" t="s">
        <v>184</v>
      </c>
      <c r="B178" s="169"/>
      <c r="C178" s="278"/>
      <c r="D178" s="184"/>
      <c r="E178" s="285"/>
    </row>
    <row r="179" spans="1:5" ht="19.5" customHeight="1">
      <c r="A179" s="170" t="s">
        <v>277</v>
      </c>
      <c r="B179" s="169"/>
      <c r="C179" s="278">
        <v>579</v>
      </c>
      <c r="D179" s="184"/>
      <c r="E179" s="285">
        <f>C179/9</f>
        <v>64.333333333333329</v>
      </c>
    </row>
    <row r="180" spans="1:5" ht="19.5" customHeight="1">
      <c r="A180" s="166" t="s">
        <v>971</v>
      </c>
      <c r="B180" s="169">
        <v>2223</v>
      </c>
      <c r="C180" s="278">
        <f>SUM(C181:C186)</f>
        <v>2223</v>
      </c>
      <c r="D180" s="184">
        <f t="shared" si="2"/>
        <v>1</v>
      </c>
      <c r="E180" s="285">
        <f>C180/611</f>
        <v>3.6382978723404253</v>
      </c>
    </row>
    <row r="181" spans="1:5" ht="19.5" customHeight="1">
      <c r="A181" s="168" t="s">
        <v>186</v>
      </c>
      <c r="B181" s="169"/>
      <c r="C181" s="278">
        <v>159</v>
      </c>
      <c r="D181" s="184"/>
      <c r="E181" s="285">
        <f>C181/179</f>
        <v>0.88826815642458101</v>
      </c>
    </row>
    <row r="182" spans="1:5" ht="19.5" customHeight="1">
      <c r="A182" s="170" t="s">
        <v>176</v>
      </c>
      <c r="B182" s="169"/>
      <c r="C182" s="278"/>
      <c r="D182" s="184"/>
      <c r="E182" s="285"/>
    </row>
    <row r="183" spans="1:5" ht="19.5" customHeight="1">
      <c r="A183" s="170" t="s">
        <v>177</v>
      </c>
      <c r="B183" s="169"/>
      <c r="C183" s="278"/>
      <c r="D183" s="184"/>
      <c r="E183" s="285"/>
    </row>
    <row r="184" spans="1:5" ht="19.5" customHeight="1">
      <c r="A184" s="170" t="s">
        <v>972</v>
      </c>
      <c r="B184" s="169"/>
      <c r="C184" s="278"/>
      <c r="D184" s="184"/>
      <c r="E184" s="285"/>
    </row>
    <row r="185" spans="1:5" ht="19.5" customHeight="1">
      <c r="A185" s="170" t="s">
        <v>184</v>
      </c>
      <c r="B185" s="169"/>
      <c r="C185" s="278"/>
      <c r="D185" s="184"/>
      <c r="E185" s="285"/>
    </row>
    <row r="186" spans="1:5" ht="19.5" customHeight="1">
      <c r="A186" s="170" t="s">
        <v>973</v>
      </c>
      <c r="B186" s="169"/>
      <c r="C186" s="278">
        <v>2064</v>
      </c>
      <c r="D186" s="184"/>
      <c r="E186" s="285">
        <f>C186/432</f>
        <v>4.7777777777777777</v>
      </c>
    </row>
    <row r="187" spans="1:5" ht="19.5" customHeight="1">
      <c r="A187" s="166" t="s">
        <v>278</v>
      </c>
      <c r="B187" s="167">
        <v>122</v>
      </c>
      <c r="C187" s="278">
        <f>SUM(C188:C192)</f>
        <v>122</v>
      </c>
      <c r="D187" s="184">
        <f t="shared" si="2"/>
        <v>1</v>
      </c>
      <c r="E187" s="285">
        <f>C187/119</f>
        <v>1.0252100840336134</v>
      </c>
    </row>
    <row r="188" spans="1:5" ht="19.5" customHeight="1">
      <c r="A188" s="168" t="s">
        <v>186</v>
      </c>
      <c r="B188" s="169"/>
      <c r="C188" s="278">
        <v>115</v>
      </c>
      <c r="D188" s="184"/>
      <c r="E188" s="285">
        <f>C188/116</f>
        <v>0.99137931034482762</v>
      </c>
    </row>
    <row r="189" spans="1:5" ht="19.5" customHeight="1">
      <c r="A189" s="170" t="s">
        <v>176</v>
      </c>
      <c r="B189" s="169"/>
      <c r="C189" s="278"/>
      <c r="D189" s="184"/>
      <c r="E189" s="285"/>
    </row>
    <row r="190" spans="1:5" ht="19.5" customHeight="1">
      <c r="A190" s="170" t="s">
        <v>177</v>
      </c>
      <c r="B190" s="169"/>
      <c r="C190" s="278"/>
      <c r="D190" s="184"/>
      <c r="E190" s="285"/>
    </row>
    <row r="191" spans="1:5" ht="19.5" customHeight="1">
      <c r="A191" s="170" t="s">
        <v>279</v>
      </c>
      <c r="B191" s="169"/>
      <c r="C191" s="278">
        <v>7</v>
      </c>
      <c r="D191" s="184"/>
      <c r="E191" s="285">
        <f>C191/3</f>
        <v>2.3333333333333335</v>
      </c>
    </row>
    <row r="192" spans="1:5" ht="19.5" customHeight="1">
      <c r="A192" s="170" t="s">
        <v>280</v>
      </c>
      <c r="B192" s="169"/>
      <c r="C192" s="278"/>
      <c r="D192" s="184"/>
      <c r="E192" s="285"/>
    </row>
    <row r="193" spans="1:5" ht="19.5" customHeight="1">
      <c r="A193" s="166" t="s">
        <v>281</v>
      </c>
      <c r="B193" s="167">
        <v>310</v>
      </c>
      <c r="C193" s="278">
        <f>SUM(C194:C200)</f>
        <v>310</v>
      </c>
      <c r="D193" s="184">
        <f t="shared" si="2"/>
        <v>1</v>
      </c>
      <c r="E193" s="285">
        <f>C193/334</f>
        <v>0.92814371257485029</v>
      </c>
    </row>
    <row r="194" spans="1:5" ht="19.5" customHeight="1">
      <c r="A194" s="168" t="s">
        <v>186</v>
      </c>
      <c r="B194" s="169"/>
      <c r="C194" s="278">
        <v>302</v>
      </c>
      <c r="D194" s="184"/>
      <c r="E194" s="285">
        <f>C194/328</f>
        <v>0.92073170731707321</v>
      </c>
    </row>
    <row r="195" spans="1:5" ht="19.5" customHeight="1">
      <c r="A195" s="170" t="s">
        <v>176</v>
      </c>
      <c r="B195" s="169"/>
      <c r="C195" s="278"/>
      <c r="D195" s="184"/>
      <c r="E195" s="285"/>
    </row>
    <row r="196" spans="1:5" ht="19.5" customHeight="1">
      <c r="A196" s="170" t="s">
        <v>177</v>
      </c>
      <c r="B196" s="169"/>
      <c r="C196" s="278"/>
      <c r="D196" s="184"/>
      <c r="E196" s="285"/>
    </row>
    <row r="197" spans="1:5" ht="19.5" customHeight="1">
      <c r="A197" s="170" t="s">
        <v>282</v>
      </c>
      <c r="B197" s="169"/>
      <c r="C197" s="278"/>
      <c r="D197" s="184"/>
      <c r="E197" s="285"/>
    </row>
    <row r="198" spans="1:5" ht="19.5" customHeight="1">
      <c r="A198" s="170" t="s">
        <v>283</v>
      </c>
      <c r="B198" s="169"/>
      <c r="C198" s="278"/>
      <c r="D198" s="184"/>
      <c r="E198" s="285"/>
    </row>
    <row r="199" spans="1:5" ht="19.5" customHeight="1">
      <c r="A199" s="170" t="s">
        <v>184</v>
      </c>
      <c r="B199" s="169"/>
      <c r="C199" s="278"/>
      <c r="D199" s="184"/>
      <c r="E199" s="285"/>
    </row>
    <row r="200" spans="1:5" ht="19.5" customHeight="1">
      <c r="A200" s="170" t="s">
        <v>284</v>
      </c>
      <c r="B200" s="169"/>
      <c r="C200" s="278">
        <v>8</v>
      </c>
      <c r="D200" s="184"/>
      <c r="E200" s="285">
        <f>C200/6</f>
        <v>1.3333333333333333</v>
      </c>
    </row>
    <row r="201" spans="1:5" ht="19.5" customHeight="1">
      <c r="A201" s="166" t="s">
        <v>974</v>
      </c>
      <c r="B201" s="169">
        <v>858</v>
      </c>
      <c r="C201" s="278">
        <f>SUM(C202:C207)</f>
        <v>858</v>
      </c>
      <c r="D201" s="184">
        <f t="shared" ref="D201:D232" si="3">C201/B201</f>
        <v>1</v>
      </c>
      <c r="E201" s="285">
        <f>C201/748</f>
        <v>1.1470588235294117</v>
      </c>
    </row>
    <row r="202" spans="1:5" ht="19.5" customHeight="1">
      <c r="A202" s="168" t="s">
        <v>186</v>
      </c>
      <c r="B202" s="169"/>
      <c r="C202" s="278">
        <v>858</v>
      </c>
      <c r="D202" s="184"/>
      <c r="E202" s="285">
        <f>C202/748</f>
        <v>1.1470588235294117</v>
      </c>
    </row>
    <row r="203" spans="1:5" ht="19.5" customHeight="1">
      <c r="A203" s="170" t="s">
        <v>176</v>
      </c>
      <c r="B203" s="169"/>
      <c r="C203" s="278"/>
      <c r="D203" s="184"/>
      <c r="E203" s="285"/>
    </row>
    <row r="204" spans="1:5" ht="19.5" customHeight="1">
      <c r="A204" s="170" t="s">
        <v>177</v>
      </c>
      <c r="B204" s="169"/>
      <c r="C204" s="278"/>
      <c r="D204" s="184"/>
      <c r="E204" s="285"/>
    </row>
    <row r="205" spans="1:5" ht="19.5" customHeight="1">
      <c r="A205" s="170" t="s">
        <v>975</v>
      </c>
      <c r="B205" s="169"/>
      <c r="C205" s="278"/>
      <c r="D205" s="184"/>
      <c r="E205" s="285"/>
    </row>
    <row r="206" spans="1:5" ht="19.5" customHeight="1">
      <c r="A206" s="170" t="s">
        <v>184</v>
      </c>
      <c r="B206" s="169"/>
      <c r="C206" s="278"/>
      <c r="D206" s="184"/>
      <c r="E206" s="285"/>
    </row>
    <row r="207" spans="1:5" ht="19.5" customHeight="1">
      <c r="A207" s="170" t="s">
        <v>976</v>
      </c>
      <c r="B207" s="169"/>
      <c r="C207" s="278"/>
      <c r="D207" s="184"/>
      <c r="E207" s="285"/>
    </row>
    <row r="208" spans="1:5" ht="19.5" customHeight="1">
      <c r="A208" s="166" t="s">
        <v>977</v>
      </c>
      <c r="B208" s="169">
        <v>540</v>
      </c>
      <c r="C208" s="278">
        <f>SUM(C209:C213)</f>
        <v>540</v>
      </c>
      <c r="D208" s="184">
        <f t="shared" si="3"/>
        <v>1</v>
      </c>
      <c r="E208" s="285">
        <f>C208/459</f>
        <v>1.1764705882352942</v>
      </c>
    </row>
    <row r="209" spans="1:5" ht="19.5" customHeight="1">
      <c r="A209" s="168" t="s">
        <v>186</v>
      </c>
      <c r="B209" s="169"/>
      <c r="C209" s="278">
        <v>480</v>
      </c>
      <c r="D209" s="184"/>
      <c r="E209" s="285">
        <f>C209/406</f>
        <v>1.1822660098522169</v>
      </c>
    </row>
    <row r="210" spans="1:5" ht="19.5" customHeight="1">
      <c r="A210" s="170" t="s">
        <v>176</v>
      </c>
      <c r="B210" s="169"/>
      <c r="C210" s="278"/>
      <c r="D210" s="184"/>
      <c r="E210" s="285"/>
    </row>
    <row r="211" spans="1:5" ht="19.5" customHeight="1">
      <c r="A211" s="170" t="s">
        <v>177</v>
      </c>
      <c r="B211" s="169"/>
      <c r="C211" s="278"/>
      <c r="D211" s="184"/>
      <c r="E211" s="285"/>
    </row>
    <row r="212" spans="1:5" ht="19.5" customHeight="1">
      <c r="A212" s="170" t="s">
        <v>184</v>
      </c>
      <c r="B212" s="169"/>
      <c r="C212" s="278"/>
      <c r="D212" s="184"/>
      <c r="E212" s="285"/>
    </row>
    <row r="213" spans="1:5" ht="19.5" customHeight="1">
      <c r="A213" s="170" t="s">
        <v>978</v>
      </c>
      <c r="B213" s="169"/>
      <c r="C213" s="278">
        <v>60</v>
      </c>
      <c r="D213" s="184"/>
      <c r="E213" s="285">
        <f>C213/53</f>
        <v>1.1320754716981132</v>
      </c>
    </row>
    <row r="214" spans="1:5" ht="19.5" customHeight="1">
      <c r="A214" s="166" t="s">
        <v>979</v>
      </c>
      <c r="B214" s="169">
        <v>269</v>
      </c>
      <c r="C214" s="278">
        <f>SUM(C215:C219)</f>
        <v>269</v>
      </c>
      <c r="D214" s="184">
        <f t="shared" si="3"/>
        <v>1</v>
      </c>
      <c r="E214" s="285">
        <f>C214/215</f>
        <v>1.2511627906976743</v>
      </c>
    </row>
    <row r="215" spans="1:5" ht="19.5" customHeight="1">
      <c r="A215" s="168" t="s">
        <v>186</v>
      </c>
      <c r="B215" s="169"/>
      <c r="C215" s="278">
        <v>269</v>
      </c>
      <c r="D215" s="184"/>
      <c r="E215" s="285">
        <f>C215/215</f>
        <v>1.2511627906976743</v>
      </c>
    </row>
    <row r="216" spans="1:5" ht="19.5" customHeight="1">
      <c r="A216" s="170" t="s">
        <v>176</v>
      </c>
      <c r="B216" s="169"/>
      <c r="C216" s="278"/>
      <c r="D216" s="184"/>
      <c r="E216" s="285"/>
    </row>
    <row r="217" spans="1:5" ht="19.5" customHeight="1">
      <c r="A217" s="170" t="s">
        <v>177</v>
      </c>
      <c r="B217" s="169"/>
      <c r="C217" s="278"/>
      <c r="D217" s="184"/>
      <c r="E217" s="285"/>
    </row>
    <row r="218" spans="1:5" ht="19.5" customHeight="1">
      <c r="A218" s="170" t="s">
        <v>184</v>
      </c>
      <c r="B218" s="169"/>
      <c r="C218" s="278"/>
      <c r="D218" s="184"/>
      <c r="E218" s="285"/>
    </row>
    <row r="219" spans="1:5" ht="19.5" customHeight="1">
      <c r="A219" s="170" t="s">
        <v>980</v>
      </c>
      <c r="B219" s="169"/>
      <c r="C219" s="278"/>
      <c r="D219" s="184"/>
      <c r="E219" s="285"/>
    </row>
    <row r="220" spans="1:5" ht="19.5" customHeight="1">
      <c r="A220" s="166" t="s">
        <v>981</v>
      </c>
      <c r="B220" s="169">
        <v>328</v>
      </c>
      <c r="C220" s="278">
        <f>SUM(C221:C225)</f>
        <v>328</v>
      </c>
      <c r="D220" s="184">
        <f t="shared" si="3"/>
        <v>1</v>
      </c>
      <c r="E220" s="285">
        <f>C220/263</f>
        <v>1.247148288973384</v>
      </c>
    </row>
    <row r="221" spans="1:5" ht="19.5" customHeight="1">
      <c r="A221" s="168" t="s">
        <v>186</v>
      </c>
      <c r="B221" s="169"/>
      <c r="C221" s="278">
        <v>225</v>
      </c>
      <c r="D221" s="184"/>
      <c r="E221" s="285">
        <f>C221/172</f>
        <v>1.308139534883721</v>
      </c>
    </row>
    <row r="222" spans="1:5" ht="19.5" customHeight="1">
      <c r="A222" s="170" t="s">
        <v>176</v>
      </c>
      <c r="B222" s="169"/>
      <c r="C222" s="278"/>
      <c r="D222" s="184"/>
      <c r="E222" s="285"/>
    </row>
    <row r="223" spans="1:5" ht="19.5" customHeight="1">
      <c r="A223" s="170" t="s">
        <v>177</v>
      </c>
      <c r="B223" s="169"/>
      <c r="C223" s="278"/>
      <c r="D223" s="184"/>
      <c r="E223" s="285"/>
    </row>
    <row r="224" spans="1:5" ht="19.5" customHeight="1">
      <c r="A224" s="170" t="s">
        <v>184</v>
      </c>
      <c r="B224" s="169"/>
      <c r="C224" s="278"/>
      <c r="D224" s="184"/>
      <c r="E224" s="285"/>
    </row>
    <row r="225" spans="1:6" ht="19.5" customHeight="1">
      <c r="A225" s="170" t="s">
        <v>982</v>
      </c>
      <c r="B225" s="169"/>
      <c r="C225" s="278">
        <v>103</v>
      </c>
      <c r="D225" s="184"/>
      <c r="E225" s="285">
        <f>C225/91</f>
        <v>1.1318681318681318</v>
      </c>
    </row>
    <row r="226" spans="1:6" ht="19.5" customHeight="1">
      <c r="A226" s="166" t="s">
        <v>983</v>
      </c>
      <c r="B226" s="169">
        <v>160</v>
      </c>
      <c r="C226" s="278">
        <f>SUM(C227:C231)</f>
        <v>160</v>
      </c>
      <c r="D226" s="184">
        <f t="shared" si="3"/>
        <v>1</v>
      </c>
      <c r="E226" s="285">
        <f>C226/60</f>
        <v>2.6666666666666665</v>
      </c>
    </row>
    <row r="227" spans="1:6" ht="19.5" customHeight="1">
      <c r="A227" s="168" t="s">
        <v>186</v>
      </c>
      <c r="B227" s="169"/>
      <c r="C227" s="278"/>
      <c r="D227" s="184"/>
      <c r="E227" s="285"/>
    </row>
    <row r="228" spans="1:6" ht="19.5" customHeight="1">
      <c r="A228" s="170" t="s">
        <v>176</v>
      </c>
      <c r="B228" s="169"/>
      <c r="C228" s="278"/>
      <c r="D228" s="184"/>
      <c r="E228" s="285"/>
    </row>
    <row r="229" spans="1:6" ht="19.5" customHeight="1">
      <c r="A229" s="170" t="s">
        <v>177</v>
      </c>
      <c r="B229" s="169"/>
      <c r="C229" s="278"/>
      <c r="D229" s="184"/>
      <c r="E229" s="285"/>
    </row>
    <row r="230" spans="1:6" ht="19.5" customHeight="1">
      <c r="A230" s="170" t="s">
        <v>184</v>
      </c>
      <c r="B230" s="169"/>
      <c r="C230" s="278"/>
      <c r="D230" s="184"/>
      <c r="E230" s="285"/>
    </row>
    <row r="231" spans="1:6" ht="19.5" customHeight="1">
      <c r="A231" s="170" t="s">
        <v>984</v>
      </c>
      <c r="B231" s="169"/>
      <c r="C231" s="278">
        <v>160</v>
      </c>
      <c r="D231" s="184"/>
      <c r="E231" s="285">
        <f>C231/60</f>
        <v>2.6666666666666665</v>
      </c>
    </row>
    <row r="232" spans="1:6" ht="19.5" customHeight="1">
      <c r="A232" s="166" t="s">
        <v>285</v>
      </c>
      <c r="B232" s="167">
        <v>2042</v>
      </c>
      <c r="C232" s="278">
        <f>SUM(C233:C234)</f>
        <v>2042</v>
      </c>
      <c r="D232" s="184">
        <f t="shared" si="3"/>
        <v>1</v>
      </c>
      <c r="E232" s="285">
        <f>C232/7859</f>
        <v>0.25982949484667262</v>
      </c>
    </row>
    <row r="233" spans="1:6" ht="19.5" customHeight="1">
      <c r="A233" s="168" t="s">
        <v>286</v>
      </c>
      <c r="B233" s="169"/>
      <c r="C233" s="278"/>
      <c r="D233" s="184"/>
      <c r="E233" s="285"/>
    </row>
    <row r="234" spans="1:6" ht="19.5" customHeight="1">
      <c r="A234" s="170" t="s">
        <v>287</v>
      </c>
      <c r="B234" s="169"/>
      <c r="C234" s="278">
        <v>2042</v>
      </c>
      <c r="D234" s="184"/>
      <c r="E234" s="285">
        <f>C234/7859</f>
        <v>0.25982949484667262</v>
      </c>
    </row>
    <row r="235" spans="1:6" ht="19.5" customHeight="1">
      <c r="A235" s="172" t="s">
        <v>288</v>
      </c>
      <c r="B235" s="169"/>
      <c r="C235" s="278"/>
      <c r="D235" s="184"/>
      <c r="E235" s="285"/>
    </row>
    <row r="236" spans="1:6" s="180" customFormat="1" ht="19.5" customHeight="1">
      <c r="A236" s="172" t="s">
        <v>289</v>
      </c>
      <c r="B236" s="177">
        <f>B237</f>
        <v>9</v>
      </c>
      <c r="C236" s="277">
        <f>C237</f>
        <v>9</v>
      </c>
      <c r="D236" s="184">
        <f t="shared" ref="D236:D261" si="4">C236/B236</f>
        <v>1</v>
      </c>
      <c r="E236" s="285">
        <f>C236/67</f>
        <v>0.13432835820895522</v>
      </c>
      <c r="F236" s="178"/>
    </row>
    <row r="237" spans="1:6" ht="19.5" customHeight="1">
      <c r="A237" s="166" t="s">
        <v>985</v>
      </c>
      <c r="B237" s="167">
        <v>9</v>
      </c>
      <c r="C237" s="278">
        <f>SUM(C238:C248)</f>
        <v>9</v>
      </c>
      <c r="D237" s="184">
        <f t="shared" si="4"/>
        <v>1</v>
      </c>
      <c r="E237" s="285">
        <f>C237/67</f>
        <v>0.13432835820895522</v>
      </c>
    </row>
    <row r="238" spans="1:6" ht="19.5" customHeight="1">
      <c r="A238" s="168" t="s">
        <v>986</v>
      </c>
      <c r="B238" s="167"/>
      <c r="C238" s="278"/>
      <c r="D238" s="184"/>
      <c r="E238" s="285"/>
    </row>
    <row r="239" spans="1:6" ht="19.5" customHeight="1">
      <c r="A239" s="170" t="s">
        <v>987</v>
      </c>
      <c r="B239" s="167"/>
      <c r="C239" s="278"/>
      <c r="D239" s="184"/>
      <c r="E239" s="285"/>
    </row>
    <row r="240" spans="1:6" ht="19.5" customHeight="1">
      <c r="A240" s="170" t="s">
        <v>988</v>
      </c>
      <c r="B240" s="167"/>
      <c r="C240" s="278"/>
      <c r="D240" s="184"/>
      <c r="E240" s="285"/>
    </row>
    <row r="241" spans="1:6" ht="19.5" customHeight="1">
      <c r="A241" s="170" t="s">
        <v>989</v>
      </c>
      <c r="B241" s="167"/>
      <c r="C241" s="278"/>
      <c r="D241" s="184"/>
      <c r="E241" s="285"/>
    </row>
    <row r="242" spans="1:6" ht="19.5" customHeight="1">
      <c r="A242" s="170" t="s">
        <v>990</v>
      </c>
      <c r="B242" s="167"/>
      <c r="C242" s="278"/>
      <c r="D242" s="184"/>
      <c r="E242" s="285"/>
    </row>
    <row r="243" spans="1:6" ht="19.5" customHeight="1">
      <c r="A243" s="170" t="s">
        <v>991</v>
      </c>
      <c r="B243" s="167"/>
      <c r="C243" s="278"/>
      <c r="D243" s="184"/>
      <c r="E243" s="285"/>
    </row>
    <row r="244" spans="1:6" ht="19.5" customHeight="1">
      <c r="A244" s="170" t="s">
        <v>992</v>
      </c>
      <c r="B244" s="167"/>
      <c r="C244" s="278">
        <v>9</v>
      </c>
      <c r="D244" s="184"/>
      <c r="E244" s="285">
        <f>C244/17</f>
        <v>0.52941176470588236</v>
      </c>
    </row>
    <row r="245" spans="1:6" ht="19.5" customHeight="1">
      <c r="A245" s="170" t="s">
        <v>993</v>
      </c>
      <c r="B245" s="167"/>
      <c r="C245" s="278"/>
      <c r="D245" s="184"/>
      <c r="E245" s="285"/>
    </row>
    <row r="246" spans="1:6" ht="19.5" customHeight="1">
      <c r="A246" s="170" t="s">
        <v>183</v>
      </c>
      <c r="B246" s="167"/>
      <c r="C246" s="278"/>
      <c r="D246" s="184"/>
      <c r="E246" s="285"/>
    </row>
    <row r="247" spans="1:6" ht="19.5" customHeight="1">
      <c r="A247" s="170" t="s">
        <v>184</v>
      </c>
      <c r="B247" s="167"/>
      <c r="C247" s="278"/>
      <c r="D247" s="184"/>
      <c r="E247" s="285"/>
    </row>
    <row r="248" spans="1:6" ht="19.5" customHeight="1">
      <c r="A248" s="170" t="s">
        <v>185</v>
      </c>
      <c r="B248" s="167"/>
      <c r="C248" s="278"/>
      <c r="D248" s="184"/>
      <c r="E248" s="285"/>
    </row>
    <row r="249" spans="1:6" s="180" customFormat="1" ht="19.5" customHeight="1">
      <c r="A249" s="172" t="s">
        <v>290</v>
      </c>
      <c r="B249" s="177">
        <f>B250+B261+B283+B295+B304+B315</f>
        <v>5019</v>
      </c>
      <c r="C249" s="277">
        <f>C250+C261+C283+C295+C304+C315</f>
        <v>5019</v>
      </c>
      <c r="D249" s="181">
        <f t="shared" si="4"/>
        <v>1</v>
      </c>
      <c r="E249" s="284">
        <f>C249/5851</f>
        <v>0.85780208511365574</v>
      </c>
      <c r="F249" s="178"/>
    </row>
    <row r="250" spans="1:6" ht="19.5" customHeight="1">
      <c r="A250" s="166" t="s">
        <v>994</v>
      </c>
      <c r="B250" s="167">
        <v>324</v>
      </c>
      <c r="C250" s="278">
        <f>SUM(C251:C260)</f>
        <v>324</v>
      </c>
      <c r="D250" s="184">
        <f t="shared" si="4"/>
        <v>1</v>
      </c>
      <c r="E250" s="285">
        <f>C250/492</f>
        <v>0.65853658536585369</v>
      </c>
    </row>
    <row r="251" spans="1:6" ht="19.5" customHeight="1">
      <c r="A251" s="168" t="s">
        <v>995</v>
      </c>
      <c r="B251" s="167"/>
      <c r="C251" s="278">
        <v>133</v>
      </c>
      <c r="D251" s="184"/>
      <c r="E251" s="285">
        <f>C251/175</f>
        <v>0.76</v>
      </c>
    </row>
    <row r="252" spans="1:6" ht="19.5" customHeight="1">
      <c r="A252" s="170" t="s">
        <v>996</v>
      </c>
      <c r="B252" s="167"/>
      <c r="C252" s="278"/>
      <c r="D252" s="184"/>
      <c r="E252" s="285"/>
    </row>
    <row r="253" spans="1:6" ht="19.5" customHeight="1">
      <c r="A253" s="170" t="s">
        <v>997</v>
      </c>
      <c r="B253" s="167"/>
      <c r="C253" s="278">
        <v>174</v>
      </c>
      <c r="D253" s="184"/>
      <c r="E253" s="285">
        <f>C253/299</f>
        <v>0.58193979933110362</v>
      </c>
    </row>
    <row r="254" spans="1:6" ht="19.5" customHeight="1">
      <c r="A254" s="170" t="s">
        <v>998</v>
      </c>
      <c r="B254" s="167"/>
      <c r="C254" s="278"/>
      <c r="D254" s="184"/>
      <c r="E254" s="285"/>
    </row>
    <row r="255" spans="1:6" ht="19.5" customHeight="1">
      <c r="A255" s="170" t="s">
        <v>999</v>
      </c>
      <c r="B255" s="167"/>
      <c r="C255" s="278"/>
      <c r="D255" s="184"/>
      <c r="E255" s="285"/>
    </row>
    <row r="256" spans="1:6" ht="19.5" customHeight="1">
      <c r="A256" s="170" t="s">
        <v>1000</v>
      </c>
      <c r="B256" s="167"/>
      <c r="C256" s="278">
        <v>17</v>
      </c>
      <c r="D256" s="184"/>
      <c r="E256" s="285">
        <f>C256/18</f>
        <v>0.94444444444444442</v>
      </c>
    </row>
    <row r="257" spans="1:5" ht="19.5" customHeight="1">
      <c r="A257" s="170" t="s">
        <v>1001</v>
      </c>
      <c r="B257" s="167"/>
      <c r="C257" s="278"/>
      <c r="D257" s="184"/>
      <c r="E257" s="285"/>
    </row>
    <row r="258" spans="1:5" ht="19.5" customHeight="1">
      <c r="A258" s="170" t="s">
        <v>1002</v>
      </c>
      <c r="B258" s="167"/>
      <c r="C258" s="278"/>
      <c r="D258" s="184"/>
      <c r="E258" s="285"/>
    </row>
    <row r="259" spans="1:5" ht="19.5" customHeight="1">
      <c r="A259" s="170" t="s">
        <v>1003</v>
      </c>
      <c r="B259" s="167"/>
      <c r="C259" s="278"/>
      <c r="D259" s="184"/>
      <c r="E259" s="285"/>
    </row>
    <row r="260" spans="1:5" ht="19.5" customHeight="1">
      <c r="A260" s="170" t="s">
        <v>1004</v>
      </c>
      <c r="B260" s="167"/>
      <c r="C260" s="278"/>
      <c r="D260" s="184"/>
      <c r="E260" s="285"/>
    </row>
    <row r="261" spans="1:5" ht="19.5" customHeight="1">
      <c r="A261" s="166" t="s">
        <v>1005</v>
      </c>
      <c r="B261" s="167">
        <v>3942</v>
      </c>
      <c r="C261" s="278">
        <f>SUM(C262:C282)</f>
        <v>3942</v>
      </c>
      <c r="D261" s="184">
        <f t="shared" si="4"/>
        <v>1</v>
      </c>
      <c r="E261" s="285">
        <f>C261/3579</f>
        <v>1.1014249790444257</v>
      </c>
    </row>
    <row r="262" spans="1:5" ht="19.5" customHeight="1">
      <c r="A262" s="168" t="s">
        <v>186</v>
      </c>
      <c r="B262" s="167"/>
      <c r="C262" s="278">
        <v>3526</v>
      </c>
      <c r="D262" s="184"/>
      <c r="E262" s="285">
        <f>C262/2899</f>
        <v>1.2162814763711625</v>
      </c>
    </row>
    <row r="263" spans="1:5" ht="19.5" customHeight="1">
      <c r="A263" s="170" t="s">
        <v>176</v>
      </c>
      <c r="B263" s="167"/>
      <c r="C263" s="278"/>
      <c r="D263" s="184"/>
      <c r="E263" s="285"/>
    </row>
    <row r="264" spans="1:5" ht="19.5" customHeight="1">
      <c r="A264" s="170" t="s">
        <v>177</v>
      </c>
      <c r="B264" s="167"/>
      <c r="C264" s="278"/>
      <c r="D264" s="184"/>
      <c r="E264" s="285"/>
    </row>
    <row r="265" spans="1:5" ht="19.5" customHeight="1">
      <c r="A265" s="170" t="s">
        <v>1006</v>
      </c>
      <c r="B265" s="167"/>
      <c r="C265" s="278"/>
      <c r="D265" s="184"/>
      <c r="E265" s="285"/>
    </row>
    <row r="266" spans="1:5" ht="19.5" customHeight="1">
      <c r="A266" s="170" t="s">
        <v>1007</v>
      </c>
      <c r="B266" s="167"/>
      <c r="C266" s="278"/>
      <c r="D266" s="184"/>
      <c r="E266" s="285"/>
    </row>
    <row r="267" spans="1:5" ht="19.5" customHeight="1">
      <c r="A267" s="170" t="s">
        <v>1008</v>
      </c>
      <c r="B267" s="167"/>
      <c r="C267" s="278"/>
      <c r="D267" s="184"/>
      <c r="E267" s="285"/>
    </row>
    <row r="268" spans="1:5" ht="19.5" customHeight="1">
      <c r="A268" s="170" t="s">
        <v>1009</v>
      </c>
      <c r="B268" s="167"/>
      <c r="C268" s="278"/>
      <c r="D268" s="184"/>
      <c r="E268" s="285"/>
    </row>
    <row r="269" spans="1:5" ht="19.5" customHeight="1">
      <c r="A269" s="170" t="s">
        <v>1010</v>
      </c>
      <c r="B269" s="167"/>
      <c r="C269" s="278"/>
      <c r="D269" s="184"/>
      <c r="E269" s="285"/>
    </row>
    <row r="270" spans="1:5" ht="19.5" customHeight="1">
      <c r="A270" s="170" t="s">
        <v>1011</v>
      </c>
      <c r="B270" s="167"/>
      <c r="C270" s="278"/>
      <c r="D270" s="184"/>
      <c r="E270" s="285"/>
    </row>
    <row r="271" spans="1:5" ht="19.5" customHeight="1">
      <c r="A271" s="170" t="s">
        <v>1012</v>
      </c>
      <c r="B271" s="167"/>
      <c r="C271" s="278"/>
      <c r="D271" s="184"/>
      <c r="E271" s="285"/>
    </row>
    <row r="272" spans="1:5" ht="19.5" customHeight="1">
      <c r="A272" s="170" t="s">
        <v>1013</v>
      </c>
      <c r="B272" s="167"/>
      <c r="C272" s="278"/>
      <c r="D272" s="184"/>
      <c r="E272" s="285"/>
    </row>
    <row r="273" spans="1:5" ht="19.5" customHeight="1">
      <c r="A273" s="170" t="s">
        <v>1014</v>
      </c>
      <c r="B273" s="167"/>
      <c r="C273" s="278">
        <v>135</v>
      </c>
      <c r="D273" s="184"/>
      <c r="E273" s="285">
        <f>C273/73</f>
        <v>1.8493150684931507</v>
      </c>
    </row>
    <row r="274" spans="1:5" ht="19.5" customHeight="1">
      <c r="A274" s="170" t="s">
        <v>1015</v>
      </c>
      <c r="B274" s="167"/>
      <c r="C274" s="278"/>
      <c r="D274" s="184"/>
      <c r="E274" s="285"/>
    </row>
    <row r="275" spans="1:5" ht="19.5" customHeight="1">
      <c r="A275" s="170" t="s">
        <v>1016</v>
      </c>
      <c r="B275" s="167"/>
      <c r="C275" s="278"/>
      <c r="D275" s="184"/>
      <c r="E275" s="285"/>
    </row>
    <row r="276" spans="1:5" ht="19.5" customHeight="1">
      <c r="A276" s="170" t="s">
        <v>1017</v>
      </c>
      <c r="B276" s="167"/>
      <c r="C276" s="278"/>
      <c r="D276" s="184"/>
      <c r="E276" s="285"/>
    </row>
    <row r="277" spans="1:5" ht="19.5" customHeight="1">
      <c r="A277" s="170" t="s">
        <v>1018</v>
      </c>
      <c r="B277" s="167"/>
      <c r="C277" s="278"/>
      <c r="D277" s="184"/>
      <c r="E277" s="285"/>
    </row>
    <row r="278" spans="1:5" ht="19.5" customHeight="1">
      <c r="A278" s="170" t="s">
        <v>1019</v>
      </c>
      <c r="B278" s="167"/>
      <c r="C278" s="278"/>
      <c r="D278" s="184"/>
      <c r="E278" s="285"/>
    </row>
    <row r="279" spans="1:5" ht="19.5" customHeight="1">
      <c r="A279" s="170" t="s">
        <v>1020</v>
      </c>
      <c r="B279" s="167"/>
      <c r="C279" s="278"/>
      <c r="D279" s="184"/>
      <c r="E279" s="285"/>
    </row>
    <row r="280" spans="1:5" ht="19.5" customHeight="1">
      <c r="A280" s="170" t="s">
        <v>1021</v>
      </c>
      <c r="B280" s="167"/>
      <c r="C280" s="278"/>
      <c r="D280" s="184"/>
      <c r="E280" s="285"/>
    </row>
    <row r="281" spans="1:5" ht="19.5" customHeight="1">
      <c r="A281" s="170" t="s">
        <v>1022</v>
      </c>
      <c r="B281" s="167"/>
      <c r="C281" s="278"/>
      <c r="D281" s="184"/>
      <c r="E281" s="285"/>
    </row>
    <row r="282" spans="1:5" ht="19.5" customHeight="1">
      <c r="A282" s="170" t="s">
        <v>1023</v>
      </c>
      <c r="B282" s="167"/>
      <c r="C282" s="278">
        <v>281</v>
      </c>
      <c r="D282" s="184"/>
      <c r="E282" s="285">
        <f>C282/326</f>
        <v>0.8619631901840491</v>
      </c>
    </row>
    <row r="283" spans="1:5" ht="19.5" customHeight="1">
      <c r="A283" s="166" t="s">
        <v>1024</v>
      </c>
      <c r="B283" s="167">
        <v>86</v>
      </c>
      <c r="C283" s="278">
        <f>SUM(C284:C294)</f>
        <v>86</v>
      </c>
      <c r="D283" s="184">
        <f t="shared" ref="D283:D324" si="5">C283/B283</f>
        <v>1</v>
      </c>
      <c r="E283" s="285">
        <f>C283/414</f>
        <v>0.20772946859903382</v>
      </c>
    </row>
    <row r="284" spans="1:5" ht="19.5" customHeight="1">
      <c r="A284" s="168" t="s">
        <v>186</v>
      </c>
      <c r="B284" s="167"/>
      <c r="C284" s="278">
        <v>86</v>
      </c>
      <c r="D284" s="184"/>
      <c r="E284" s="285">
        <f>C284/318</f>
        <v>0.27044025157232704</v>
      </c>
    </row>
    <row r="285" spans="1:5" ht="19.5" customHeight="1">
      <c r="A285" s="170" t="s">
        <v>176</v>
      </c>
      <c r="B285" s="167"/>
      <c r="C285" s="278"/>
      <c r="D285" s="184"/>
      <c r="E285" s="285"/>
    </row>
    <row r="286" spans="1:5" ht="19.5" customHeight="1">
      <c r="A286" s="170" t="s">
        <v>177</v>
      </c>
      <c r="B286" s="167"/>
      <c r="C286" s="278"/>
      <c r="D286" s="184"/>
      <c r="E286" s="285"/>
    </row>
    <row r="287" spans="1:5" ht="19.5" customHeight="1">
      <c r="A287" s="170" t="s">
        <v>1025</v>
      </c>
      <c r="B287" s="167"/>
      <c r="C287" s="278"/>
      <c r="D287" s="184"/>
      <c r="E287" s="285"/>
    </row>
    <row r="288" spans="1:5" ht="19.5" customHeight="1">
      <c r="A288" s="170" t="s">
        <v>1026</v>
      </c>
      <c r="B288" s="167"/>
      <c r="C288" s="278"/>
      <c r="D288" s="184"/>
      <c r="E288" s="285"/>
    </row>
    <row r="289" spans="1:5" ht="19.5" customHeight="1">
      <c r="A289" s="170" t="s">
        <v>1027</v>
      </c>
      <c r="B289" s="167"/>
      <c r="C289" s="278"/>
      <c r="D289" s="184"/>
      <c r="E289" s="285"/>
    </row>
    <row r="290" spans="1:5" ht="19.5" customHeight="1">
      <c r="A290" s="170" t="s">
        <v>1028</v>
      </c>
      <c r="B290" s="167"/>
      <c r="C290" s="278"/>
      <c r="D290" s="184"/>
      <c r="E290" s="285"/>
    </row>
    <row r="291" spans="1:5" ht="19.5" customHeight="1">
      <c r="A291" s="170" t="s">
        <v>1029</v>
      </c>
      <c r="B291" s="167"/>
      <c r="C291" s="278"/>
      <c r="D291" s="184"/>
      <c r="E291" s="285"/>
    </row>
    <row r="292" spans="1:5" ht="19.5" customHeight="1">
      <c r="A292" s="170" t="s">
        <v>1030</v>
      </c>
      <c r="B292" s="167"/>
      <c r="C292" s="278"/>
      <c r="D292" s="184"/>
      <c r="E292" s="285"/>
    </row>
    <row r="293" spans="1:5" ht="19.5" customHeight="1">
      <c r="A293" s="170" t="s">
        <v>1031</v>
      </c>
      <c r="B293" s="167"/>
      <c r="C293" s="278"/>
      <c r="D293" s="184"/>
      <c r="E293" s="285"/>
    </row>
    <row r="294" spans="1:5" ht="19.5" customHeight="1">
      <c r="A294" s="170" t="s">
        <v>1032</v>
      </c>
      <c r="B294" s="167"/>
      <c r="C294" s="278"/>
      <c r="D294" s="184"/>
      <c r="E294" s="285"/>
    </row>
    <row r="295" spans="1:5" ht="19.5" customHeight="1">
      <c r="A295" s="166" t="s">
        <v>1033</v>
      </c>
      <c r="B295" s="167">
        <v>112</v>
      </c>
      <c r="C295" s="278">
        <f>SUM(C296:C303)</f>
        <v>112</v>
      </c>
      <c r="D295" s="184">
        <f t="shared" si="5"/>
        <v>1</v>
      </c>
      <c r="E295" s="285">
        <f>C295/968</f>
        <v>0.11570247933884298</v>
      </c>
    </row>
    <row r="296" spans="1:5" ht="19.5" customHeight="1">
      <c r="A296" s="168" t="s">
        <v>175</v>
      </c>
      <c r="B296" s="167"/>
      <c r="C296" s="278">
        <v>112</v>
      </c>
      <c r="D296" s="184"/>
      <c r="E296" s="285">
        <f>C296/432</f>
        <v>0.25925925925925924</v>
      </c>
    </row>
    <row r="297" spans="1:5" ht="19.5" customHeight="1">
      <c r="A297" s="170" t="s">
        <v>176</v>
      </c>
      <c r="B297" s="167"/>
      <c r="C297" s="278"/>
      <c r="D297" s="184"/>
      <c r="E297" s="285"/>
    </row>
    <row r="298" spans="1:5" ht="19.5" customHeight="1">
      <c r="A298" s="170" t="s">
        <v>177</v>
      </c>
      <c r="B298" s="167"/>
      <c r="C298" s="278"/>
      <c r="D298" s="184"/>
      <c r="E298" s="285"/>
    </row>
    <row r="299" spans="1:5" ht="19.5" customHeight="1">
      <c r="A299" s="170" t="s">
        <v>1034</v>
      </c>
      <c r="B299" s="167"/>
      <c r="C299" s="278"/>
      <c r="D299" s="184"/>
      <c r="E299" s="285"/>
    </row>
    <row r="300" spans="1:5" ht="19.5" customHeight="1">
      <c r="A300" s="170" t="s">
        <v>1035</v>
      </c>
      <c r="B300" s="167"/>
      <c r="C300" s="278"/>
      <c r="D300" s="184"/>
      <c r="E300" s="285"/>
    </row>
    <row r="301" spans="1:5" ht="19.5" customHeight="1">
      <c r="A301" s="170" t="s">
        <v>1036</v>
      </c>
      <c r="B301" s="167"/>
      <c r="C301" s="278"/>
      <c r="D301" s="184"/>
      <c r="E301" s="285"/>
    </row>
    <row r="302" spans="1:5" ht="19.5" customHeight="1">
      <c r="A302" s="170" t="s">
        <v>184</v>
      </c>
      <c r="B302" s="167"/>
      <c r="C302" s="278"/>
      <c r="D302" s="184"/>
      <c r="E302" s="285"/>
    </row>
    <row r="303" spans="1:5" ht="19.5" customHeight="1">
      <c r="A303" s="170" t="s">
        <v>1037</v>
      </c>
      <c r="B303" s="167"/>
      <c r="C303" s="278"/>
      <c r="D303" s="184"/>
      <c r="E303" s="285"/>
    </row>
    <row r="304" spans="1:5" ht="19.5" customHeight="1">
      <c r="A304" s="166" t="s">
        <v>1038</v>
      </c>
      <c r="B304" s="167">
        <v>555</v>
      </c>
      <c r="C304" s="278">
        <f>SUM(C305:C314)</f>
        <v>555</v>
      </c>
      <c r="D304" s="184">
        <f t="shared" si="5"/>
        <v>1</v>
      </c>
      <c r="E304" s="285">
        <f>C304/398</f>
        <v>1.3944723618090453</v>
      </c>
    </row>
    <row r="305" spans="1:6" ht="19.5" customHeight="1">
      <c r="A305" s="168" t="s">
        <v>186</v>
      </c>
      <c r="B305" s="167"/>
      <c r="C305" s="278">
        <v>436</v>
      </c>
      <c r="D305" s="184"/>
      <c r="E305" s="285">
        <f>C305/351</f>
        <v>1.2421652421652423</v>
      </c>
    </row>
    <row r="306" spans="1:6" ht="19.5" customHeight="1">
      <c r="A306" s="170" t="s">
        <v>176</v>
      </c>
      <c r="B306" s="167"/>
      <c r="C306" s="278"/>
      <c r="D306" s="184"/>
      <c r="E306" s="285"/>
    </row>
    <row r="307" spans="1:6" ht="19.5" customHeight="1">
      <c r="A307" s="170" t="s">
        <v>177</v>
      </c>
      <c r="B307" s="167"/>
      <c r="C307" s="278"/>
      <c r="D307" s="184"/>
      <c r="E307" s="285"/>
    </row>
    <row r="308" spans="1:6" ht="19.5" customHeight="1">
      <c r="A308" s="170" t="s">
        <v>1039</v>
      </c>
      <c r="B308" s="167"/>
      <c r="C308" s="278"/>
      <c r="D308" s="184"/>
      <c r="E308" s="285"/>
    </row>
    <row r="309" spans="1:6" ht="19.5" customHeight="1">
      <c r="A309" s="170" t="s">
        <v>1040</v>
      </c>
      <c r="B309" s="167"/>
      <c r="C309" s="278"/>
      <c r="D309" s="184"/>
      <c r="E309" s="285"/>
    </row>
    <row r="310" spans="1:6" ht="19.5" customHeight="1">
      <c r="A310" s="170" t="s">
        <v>1041</v>
      </c>
      <c r="B310" s="167"/>
      <c r="C310" s="278">
        <v>24</v>
      </c>
      <c r="D310" s="184"/>
      <c r="E310" s="285">
        <f>C310/10</f>
        <v>2.4</v>
      </c>
    </row>
    <row r="311" spans="1:6" ht="19.5" customHeight="1">
      <c r="A311" s="170" t="s">
        <v>1042</v>
      </c>
      <c r="B311" s="167"/>
      <c r="C311" s="278"/>
      <c r="D311" s="184"/>
      <c r="E311" s="285"/>
    </row>
    <row r="312" spans="1:6" ht="19.5" customHeight="1">
      <c r="A312" s="170" t="s">
        <v>1043</v>
      </c>
      <c r="B312" s="167"/>
      <c r="C312" s="278"/>
      <c r="D312" s="184"/>
      <c r="E312" s="285"/>
    </row>
    <row r="313" spans="1:6" ht="19.5" customHeight="1">
      <c r="A313" s="170" t="s">
        <v>184</v>
      </c>
      <c r="B313" s="167"/>
      <c r="C313" s="278"/>
      <c r="D313" s="184"/>
      <c r="E313" s="285"/>
    </row>
    <row r="314" spans="1:6" ht="19.5" customHeight="1">
      <c r="A314" s="170" t="s">
        <v>1044</v>
      </c>
      <c r="B314" s="167"/>
      <c r="C314" s="278">
        <v>95</v>
      </c>
      <c r="D314" s="184"/>
      <c r="E314" s="285">
        <f>C314/37</f>
        <v>2.5675675675675675</v>
      </c>
    </row>
    <row r="315" spans="1:6" ht="19.5" customHeight="1">
      <c r="A315" s="166" t="s">
        <v>1045</v>
      </c>
      <c r="B315" s="167"/>
      <c r="C315" s="278"/>
      <c r="D315" s="184"/>
      <c r="E315" s="285"/>
    </row>
    <row r="316" spans="1:6" ht="19.5" customHeight="1">
      <c r="A316" s="168" t="s">
        <v>1046</v>
      </c>
      <c r="B316" s="167"/>
      <c r="C316" s="278"/>
      <c r="D316" s="184"/>
      <c r="E316" s="285"/>
    </row>
    <row r="317" spans="1:6" ht="19.5" customHeight="1">
      <c r="A317" s="170" t="s">
        <v>1047</v>
      </c>
      <c r="B317" s="167"/>
      <c r="C317" s="278"/>
      <c r="D317" s="184"/>
      <c r="E317" s="285"/>
    </row>
    <row r="318" spans="1:6" s="180" customFormat="1" ht="19.5" customHeight="1">
      <c r="A318" s="172" t="s">
        <v>291</v>
      </c>
      <c r="B318" s="177">
        <f>B319+B324+B333+B340+B346+B350+B351+B355+B361+B368</f>
        <v>19617</v>
      </c>
      <c r="C318" s="277">
        <f>C319+C324+C333+C340+C346+C350+C351+C355+C361+C368</f>
        <v>19617</v>
      </c>
      <c r="D318" s="181">
        <f t="shared" si="5"/>
        <v>1</v>
      </c>
      <c r="E318" s="284">
        <f>C318/16559</f>
        <v>1.1846729874992452</v>
      </c>
      <c r="F318" s="178"/>
    </row>
    <row r="319" spans="1:6" ht="19.5" customHeight="1">
      <c r="A319" s="166" t="s">
        <v>292</v>
      </c>
      <c r="B319" s="167">
        <v>780</v>
      </c>
      <c r="C319" s="278">
        <f>SUM(C320:C323)</f>
        <v>780</v>
      </c>
      <c r="D319" s="184">
        <f t="shared" si="5"/>
        <v>1</v>
      </c>
      <c r="E319" s="285">
        <f>C319/674</f>
        <v>1.1572700296735905</v>
      </c>
    </row>
    <row r="320" spans="1:6" ht="19.5" customHeight="1">
      <c r="A320" s="168" t="s">
        <v>186</v>
      </c>
      <c r="B320" s="169"/>
      <c r="C320" s="278">
        <v>245</v>
      </c>
      <c r="D320" s="184"/>
      <c r="E320" s="285">
        <f>C320/139</f>
        <v>1.7625899280575539</v>
      </c>
    </row>
    <row r="321" spans="1:5" ht="19.5" customHeight="1">
      <c r="A321" s="170" t="s">
        <v>176</v>
      </c>
      <c r="B321" s="169"/>
      <c r="C321" s="278">
        <v>535</v>
      </c>
      <c r="D321" s="184"/>
      <c r="E321" s="285">
        <f>C321/535</f>
        <v>1</v>
      </c>
    </row>
    <row r="322" spans="1:5" ht="19.5" customHeight="1">
      <c r="A322" s="170" t="s">
        <v>177</v>
      </c>
      <c r="B322" s="169"/>
      <c r="C322" s="278"/>
      <c r="D322" s="184"/>
      <c r="E322" s="285"/>
    </row>
    <row r="323" spans="1:5" ht="19.5" customHeight="1">
      <c r="A323" s="170" t="s">
        <v>293</v>
      </c>
      <c r="B323" s="169"/>
      <c r="C323" s="278"/>
      <c r="D323" s="184"/>
      <c r="E323" s="285"/>
    </row>
    <row r="324" spans="1:5" ht="19.5" customHeight="1">
      <c r="A324" s="166" t="s">
        <v>294</v>
      </c>
      <c r="B324" s="167">
        <v>18473</v>
      </c>
      <c r="C324" s="278">
        <f>SUM(C325:C332)</f>
        <v>18473</v>
      </c>
      <c r="D324" s="184">
        <f t="shared" si="5"/>
        <v>1</v>
      </c>
      <c r="E324" s="285">
        <f>C324/15545</f>
        <v>1.1883563846896108</v>
      </c>
    </row>
    <row r="325" spans="1:5" ht="19.5" customHeight="1">
      <c r="A325" s="168" t="s">
        <v>295</v>
      </c>
      <c r="B325" s="169"/>
      <c r="C325" s="278">
        <v>1649</v>
      </c>
      <c r="D325" s="184"/>
      <c r="E325" s="285">
        <f>C325/1134</f>
        <v>1.4541446208112874</v>
      </c>
    </row>
    <row r="326" spans="1:5" ht="19.5" customHeight="1">
      <c r="A326" s="170" t="s">
        <v>296</v>
      </c>
      <c r="B326" s="169"/>
      <c r="C326" s="278">
        <v>5950</v>
      </c>
      <c r="D326" s="184"/>
      <c r="E326" s="285">
        <f>C326/7052</f>
        <v>0.84373227453204769</v>
      </c>
    </row>
    <row r="327" spans="1:5" ht="19.5" customHeight="1">
      <c r="A327" s="170" t="s">
        <v>297</v>
      </c>
      <c r="B327" s="169"/>
      <c r="C327" s="278">
        <v>3225</v>
      </c>
      <c r="D327" s="184"/>
      <c r="E327" s="285">
        <f>C327/2312</f>
        <v>1.3948961937716262</v>
      </c>
    </row>
    <row r="328" spans="1:5" ht="19.5" customHeight="1">
      <c r="A328" s="170" t="s">
        <v>298</v>
      </c>
      <c r="B328" s="169"/>
      <c r="C328" s="278">
        <v>450</v>
      </c>
      <c r="D328" s="184"/>
      <c r="E328" s="285">
        <f>C328/560</f>
        <v>0.8035714285714286</v>
      </c>
    </row>
    <row r="329" spans="1:5" ht="19.5" customHeight="1">
      <c r="A329" s="170" t="s">
        <v>299</v>
      </c>
      <c r="B329" s="169"/>
      <c r="C329" s="278"/>
      <c r="D329" s="184"/>
      <c r="E329" s="285"/>
    </row>
    <row r="330" spans="1:5" ht="19.5" customHeight="1">
      <c r="A330" s="170" t="s">
        <v>300</v>
      </c>
      <c r="B330" s="169"/>
      <c r="C330" s="278"/>
      <c r="D330" s="184"/>
      <c r="E330" s="285"/>
    </row>
    <row r="331" spans="1:5" ht="19.5" customHeight="1">
      <c r="A331" s="170" t="s">
        <v>301</v>
      </c>
      <c r="B331" s="169"/>
      <c r="C331" s="278"/>
      <c r="D331" s="184"/>
      <c r="E331" s="285"/>
    </row>
    <row r="332" spans="1:5" ht="19.5" customHeight="1">
      <c r="A332" s="170" t="s">
        <v>302</v>
      </c>
      <c r="B332" s="169"/>
      <c r="C332" s="278">
        <v>7199</v>
      </c>
      <c r="D332" s="184"/>
      <c r="E332" s="285">
        <f>C332/4487</f>
        <v>1.6044127479384889</v>
      </c>
    </row>
    <row r="333" spans="1:5" ht="19.5" customHeight="1">
      <c r="A333" s="166" t="s">
        <v>303</v>
      </c>
      <c r="B333" s="167">
        <v>18</v>
      </c>
      <c r="C333" s="278">
        <f>SUM(C334:C339)</f>
        <v>18</v>
      </c>
      <c r="D333" s="184">
        <f t="shared" ref="D333:D392" si="6">C333/B333</f>
        <v>1</v>
      </c>
      <c r="E333" s="285">
        <f>C333/9</f>
        <v>2</v>
      </c>
    </row>
    <row r="334" spans="1:5" ht="19.5" customHeight="1">
      <c r="A334" s="168" t="s">
        <v>304</v>
      </c>
      <c r="B334" s="169"/>
      <c r="C334" s="278"/>
      <c r="D334" s="184"/>
      <c r="E334" s="285"/>
    </row>
    <row r="335" spans="1:5" ht="19.5" customHeight="1">
      <c r="A335" s="170" t="s">
        <v>305</v>
      </c>
      <c r="B335" s="169"/>
      <c r="C335" s="278"/>
      <c r="D335" s="184"/>
      <c r="E335" s="285"/>
    </row>
    <row r="336" spans="1:5" ht="19.5" customHeight="1">
      <c r="A336" s="170" t="s">
        <v>306</v>
      </c>
      <c r="B336" s="169"/>
      <c r="C336" s="278"/>
      <c r="D336" s="184"/>
      <c r="E336" s="285"/>
    </row>
    <row r="337" spans="1:5" ht="19.5" customHeight="1">
      <c r="A337" s="170" t="s">
        <v>307</v>
      </c>
      <c r="B337" s="169"/>
      <c r="C337" s="278"/>
      <c r="D337" s="184"/>
      <c r="E337" s="285"/>
    </row>
    <row r="338" spans="1:5" ht="19.5" customHeight="1">
      <c r="A338" s="170" t="s">
        <v>308</v>
      </c>
      <c r="B338" s="169"/>
      <c r="C338" s="278">
        <v>18</v>
      </c>
      <c r="D338" s="184"/>
      <c r="E338" s="285">
        <f>C338/9</f>
        <v>2</v>
      </c>
    </row>
    <row r="339" spans="1:5" ht="19.5" customHeight="1">
      <c r="A339" s="170" t="s">
        <v>309</v>
      </c>
      <c r="B339" s="169"/>
      <c r="C339" s="278"/>
      <c r="D339" s="184"/>
      <c r="E339" s="285"/>
    </row>
    <row r="340" spans="1:5" ht="19.5" customHeight="1">
      <c r="A340" s="166" t="s">
        <v>310</v>
      </c>
      <c r="B340" s="167"/>
      <c r="C340" s="278"/>
      <c r="D340" s="184"/>
      <c r="E340" s="285"/>
    </row>
    <row r="341" spans="1:5" ht="19.5" customHeight="1">
      <c r="A341" s="168" t="s">
        <v>311</v>
      </c>
      <c r="B341" s="169"/>
      <c r="C341" s="278"/>
      <c r="D341" s="184"/>
      <c r="E341" s="285"/>
    </row>
    <row r="342" spans="1:5" ht="19.5" customHeight="1">
      <c r="A342" s="170" t="s">
        <v>312</v>
      </c>
      <c r="B342" s="169"/>
      <c r="C342" s="278"/>
      <c r="D342" s="184"/>
      <c r="E342" s="285"/>
    </row>
    <row r="343" spans="1:5" ht="19.5" customHeight="1">
      <c r="A343" s="170" t="s">
        <v>313</v>
      </c>
      <c r="B343" s="169"/>
      <c r="C343" s="278"/>
      <c r="D343" s="184"/>
      <c r="E343" s="285"/>
    </row>
    <row r="344" spans="1:5" ht="19.5" customHeight="1">
      <c r="A344" s="170" t="s">
        <v>314</v>
      </c>
      <c r="B344" s="169"/>
      <c r="C344" s="278"/>
      <c r="D344" s="184"/>
      <c r="E344" s="285"/>
    </row>
    <row r="345" spans="1:5" ht="19.5" customHeight="1">
      <c r="A345" s="170" t="s">
        <v>315</v>
      </c>
      <c r="B345" s="169"/>
      <c r="C345" s="278"/>
      <c r="D345" s="184"/>
      <c r="E345" s="285"/>
    </row>
    <row r="346" spans="1:5" ht="19.5" customHeight="1">
      <c r="A346" s="166" t="s">
        <v>316</v>
      </c>
      <c r="B346" s="167"/>
      <c r="C346" s="278"/>
      <c r="D346" s="184"/>
      <c r="E346" s="285"/>
    </row>
    <row r="347" spans="1:5" ht="19.5" customHeight="1">
      <c r="A347" s="168" t="s">
        <v>317</v>
      </c>
      <c r="B347" s="169"/>
      <c r="C347" s="278"/>
      <c r="D347" s="184"/>
      <c r="E347" s="285"/>
    </row>
    <row r="348" spans="1:5" ht="19.5" customHeight="1">
      <c r="A348" s="170" t="s">
        <v>318</v>
      </c>
      <c r="B348" s="169"/>
      <c r="C348" s="278"/>
      <c r="D348" s="184"/>
      <c r="E348" s="285"/>
    </row>
    <row r="349" spans="1:5" ht="19.5" customHeight="1">
      <c r="A349" s="170" t="s">
        <v>319</v>
      </c>
      <c r="B349" s="169"/>
      <c r="C349" s="278"/>
      <c r="D349" s="184"/>
      <c r="E349" s="285"/>
    </row>
    <row r="350" spans="1:5" ht="19.5" customHeight="1">
      <c r="A350" s="166" t="s">
        <v>320</v>
      </c>
      <c r="B350" s="169"/>
      <c r="C350" s="278"/>
      <c r="D350" s="184"/>
      <c r="E350" s="285"/>
    </row>
    <row r="351" spans="1:5" ht="19.5" customHeight="1">
      <c r="A351" s="166" t="s">
        <v>321</v>
      </c>
      <c r="B351" s="167"/>
      <c r="C351" s="278"/>
      <c r="D351" s="184"/>
      <c r="E351" s="285"/>
    </row>
    <row r="352" spans="1:5" ht="19.5" customHeight="1">
      <c r="A352" s="168" t="s">
        <v>322</v>
      </c>
      <c r="B352" s="169"/>
      <c r="C352" s="278"/>
      <c r="D352" s="184"/>
      <c r="E352" s="285"/>
    </row>
    <row r="353" spans="1:5" ht="19.5" customHeight="1">
      <c r="A353" s="170" t="s">
        <v>323</v>
      </c>
      <c r="B353" s="169"/>
      <c r="C353" s="278"/>
      <c r="D353" s="184"/>
      <c r="E353" s="285"/>
    </row>
    <row r="354" spans="1:5" ht="19.5" customHeight="1">
      <c r="A354" s="170" t="s">
        <v>324</v>
      </c>
      <c r="B354" s="169"/>
      <c r="C354" s="278"/>
      <c r="D354" s="184"/>
      <c r="E354" s="285"/>
    </row>
    <row r="355" spans="1:5" ht="19.5" customHeight="1">
      <c r="A355" s="166" t="s">
        <v>325</v>
      </c>
      <c r="B355" s="167">
        <v>155</v>
      </c>
      <c r="C355" s="278">
        <f>SUM(C356:C360)</f>
        <v>155</v>
      </c>
      <c r="D355" s="184">
        <f t="shared" si="6"/>
        <v>1</v>
      </c>
      <c r="E355" s="285">
        <f>C355/159</f>
        <v>0.97484276729559749</v>
      </c>
    </row>
    <row r="356" spans="1:5" ht="19.5" customHeight="1">
      <c r="A356" s="168" t="s">
        <v>326</v>
      </c>
      <c r="B356" s="169"/>
      <c r="C356" s="278"/>
      <c r="D356" s="184"/>
      <c r="E356" s="285"/>
    </row>
    <row r="357" spans="1:5" ht="19.5" customHeight="1">
      <c r="A357" s="170" t="s">
        <v>327</v>
      </c>
      <c r="B357" s="169"/>
      <c r="C357" s="278">
        <v>155</v>
      </c>
      <c r="D357" s="184"/>
      <c r="E357" s="285">
        <f>C357/157</f>
        <v>0.98726114649681529</v>
      </c>
    </row>
    <row r="358" spans="1:5" ht="19.5" customHeight="1">
      <c r="A358" s="170" t="s">
        <v>328</v>
      </c>
      <c r="B358" s="169"/>
      <c r="C358" s="278"/>
      <c r="D358" s="184"/>
      <c r="E358" s="285"/>
    </row>
    <row r="359" spans="1:5" ht="19.5" customHeight="1">
      <c r="A359" s="170" t="s">
        <v>329</v>
      </c>
      <c r="B359" s="169"/>
      <c r="C359" s="278"/>
      <c r="D359" s="184"/>
      <c r="E359" s="285"/>
    </row>
    <row r="360" spans="1:5" ht="19.5" customHeight="1">
      <c r="A360" s="170" t="s">
        <v>330</v>
      </c>
      <c r="B360" s="169"/>
      <c r="C360" s="278"/>
      <c r="D360" s="184"/>
      <c r="E360" s="285"/>
    </row>
    <row r="361" spans="1:5" ht="19.5" customHeight="1">
      <c r="A361" s="166" t="s">
        <v>331</v>
      </c>
      <c r="B361" s="167">
        <v>191</v>
      </c>
      <c r="C361" s="278">
        <f>SUM(C362:C367)</f>
        <v>191</v>
      </c>
      <c r="D361" s="184">
        <f t="shared" si="6"/>
        <v>1</v>
      </c>
      <c r="E361" s="285">
        <f>C361/172</f>
        <v>1.1104651162790697</v>
      </c>
    </row>
    <row r="362" spans="1:5" ht="19.5" customHeight="1">
      <c r="A362" s="168" t="s">
        <v>332</v>
      </c>
      <c r="B362" s="169"/>
      <c r="C362" s="278"/>
      <c r="D362" s="184"/>
      <c r="E362" s="285"/>
    </row>
    <row r="363" spans="1:5" ht="19.5" customHeight="1">
      <c r="A363" s="170" t="s">
        <v>333</v>
      </c>
      <c r="B363" s="169"/>
      <c r="C363" s="278"/>
      <c r="D363" s="184"/>
      <c r="E363" s="285"/>
    </row>
    <row r="364" spans="1:5" ht="19.5" customHeight="1">
      <c r="A364" s="170" t="s">
        <v>334</v>
      </c>
      <c r="B364" s="169"/>
      <c r="C364" s="278"/>
      <c r="D364" s="184"/>
      <c r="E364" s="285"/>
    </row>
    <row r="365" spans="1:5" ht="19.5" customHeight="1">
      <c r="A365" s="170" t="s">
        <v>335</v>
      </c>
      <c r="B365" s="169"/>
      <c r="C365" s="278"/>
      <c r="D365" s="184"/>
      <c r="E365" s="285"/>
    </row>
    <row r="366" spans="1:5" ht="19.5" customHeight="1">
      <c r="A366" s="170" t="s">
        <v>336</v>
      </c>
      <c r="B366" s="169"/>
      <c r="C366" s="278"/>
      <c r="D366" s="184"/>
      <c r="E366" s="285"/>
    </row>
    <row r="367" spans="1:5" ht="19.5" customHeight="1">
      <c r="A367" s="170" t="s">
        <v>337</v>
      </c>
      <c r="B367" s="169"/>
      <c r="C367" s="278">
        <v>191</v>
      </c>
      <c r="D367" s="184"/>
      <c r="E367" s="285">
        <f>C367/172</f>
        <v>1.1104651162790697</v>
      </c>
    </row>
    <row r="368" spans="1:5" ht="19.5" customHeight="1">
      <c r="A368" s="166" t="s">
        <v>338</v>
      </c>
      <c r="B368" s="167"/>
      <c r="C368" s="278"/>
      <c r="D368" s="184"/>
      <c r="E368" s="285"/>
    </row>
    <row r="369" spans="1:6" ht="19.5" customHeight="1">
      <c r="A369" s="168" t="s">
        <v>339</v>
      </c>
      <c r="B369" s="169"/>
      <c r="C369" s="278"/>
      <c r="D369" s="184"/>
      <c r="E369" s="285"/>
    </row>
    <row r="370" spans="1:6" s="180" customFormat="1" ht="19.5" customHeight="1">
      <c r="A370" s="172" t="s">
        <v>340</v>
      </c>
      <c r="B370" s="177">
        <f>B371+B386+B392</f>
        <v>176</v>
      </c>
      <c r="C370" s="277">
        <f>C371+C386+C392</f>
        <v>176</v>
      </c>
      <c r="D370" s="181">
        <f t="shared" si="6"/>
        <v>1</v>
      </c>
      <c r="E370" s="284">
        <f>C370/227</f>
        <v>0.77533039647577096</v>
      </c>
      <c r="F370" s="178"/>
    </row>
    <row r="371" spans="1:6" ht="19.5" customHeight="1">
      <c r="A371" s="166" t="s">
        <v>341</v>
      </c>
      <c r="B371" s="167">
        <v>36</v>
      </c>
      <c r="C371" s="278">
        <f>SUM(C372:C375)</f>
        <v>36</v>
      </c>
      <c r="D371" s="184">
        <f t="shared" si="6"/>
        <v>1</v>
      </c>
      <c r="E371" s="285">
        <f>C371/117</f>
        <v>0.30769230769230771</v>
      </c>
    </row>
    <row r="372" spans="1:6" ht="19.5" customHeight="1">
      <c r="A372" s="168" t="s">
        <v>342</v>
      </c>
      <c r="B372" s="169"/>
      <c r="C372" s="278">
        <v>36</v>
      </c>
      <c r="D372" s="184"/>
      <c r="E372" s="285">
        <f>C372/117</f>
        <v>0.30769230769230771</v>
      </c>
    </row>
    <row r="373" spans="1:6" ht="19.5" customHeight="1">
      <c r="A373" s="170" t="s">
        <v>176</v>
      </c>
      <c r="B373" s="169"/>
      <c r="C373" s="278"/>
      <c r="D373" s="184"/>
      <c r="E373" s="285"/>
    </row>
    <row r="374" spans="1:6" ht="19.5" customHeight="1">
      <c r="A374" s="170" t="s">
        <v>177</v>
      </c>
      <c r="B374" s="169"/>
      <c r="C374" s="278"/>
      <c r="D374" s="184"/>
      <c r="E374" s="285"/>
    </row>
    <row r="375" spans="1:6" ht="19.5" customHeight="1">
      <c r="A375" s="170" t="s">
        <v>343</v>
      </c>
      <c r="B375" s="169"/>
      <c r="C375" s="278"/>
      <c r="D375" s="184"/>
      <c r="E375" s="285"/>
    </row>
    <row r="376" spans="1:6" ht="19.5" customHeight="1">
      <c r="A376" s="166" t="s">
        <v>344</v>
      </c>
      <c r="B376" s="167"/>
      <c r="C376" s="278"/>
      <c r="D376" s="184"/>
      <c r="E376" s="285"/>
    </row>
    <row r="377" spans="1:6" ht="19.5" customHeight="1">
      <c r="A377" s="168" t="s">
        <v>345</v>
      </c>
      <c r="B377" s="169"/>
      <c r="C377" s="278"/>
      <c r="D377" s="184"/>
      <c r="E377" s="285"/>
    </row>
    <row r="378" spans="1:6" ht="19.5" customHeight="1">
      <c r="A378" s="170" t="s">
        <v>346</v>
      </c>
      <c r="B378" s="169"/>
      <c r="C378" s="278"/>
      <c r="D378" s="184"/>
      <c r="E378" s="285"/>
    </row>
    <row r="379" spans="1:6" ht="19.5" customHeight="1">
      <c r="A379" s="170" t="s">
        <v>347</v>
      </c>
      <c r="B379" s="169"/>
      <c r="C379" s="278"/>
      <c r="D379" s="184"/>
      <c r="E379" s="285"/>
    </row>
    <row r="380" spans="1:6" ht="19.5" customHeight="1">
      <c r="A380" s="170" t="s">
        <v>348</v>
      </c>
      <c r="B380" s="169"/>
      <c r="C380" s="278"/>
      <c r="D380" s="184"/>
      <c r="E380" s="285"/>
    </row>
    <row r="381" spans="1:6" ht="19.5" customHeight="1">
      <c r="A381" s="170" t="s">
        <v>349</v>
      </c>
      <c r="B381" s="169"/>
      <c r="C381" s="278"/>
      <c r="D381" s="184"/>
      <c r="E381" s="285"/>
    </row>
    <row r="382" spans="1:6" ht="19.5" customHeight="1">
      <c r="A382" s="170" t="s">
        <v>350</v>
      </c>
      <c r="B382" s="169"/>
      <c r="C382" s="278"/>
      <c r="D382" s="184"/>
      <c r="E382" s="285"/>
    </row>
    <row r="383" spans="1:6" ht="19.5" customHeight="1">
      <c r="A383" s="170" t="s">
        <v>351</v>
      </c>
      <c r="B383" s="169"/>
      <c r="C383" s="278"/>
      <c r="D383" s="184"/>
      <c r="E383" s="285"/>
    </row>
    <row r="384" spans="1:6" ht="19.5" customHeight="1">
      <c r="A384" s="170" t="s">
        <v>352</v>
      </c>
      <c r="B384" s="169"/>
      <c r="C384" s="278"/>
      <c r="D384" s="184"/>
      <c r="E384" s="285"/>
    </row>
    <row r="385" spans="1:5" ht="19.5" customHeight="1">
      <c r="A385" s="166" t="s">
        <v>353</v>
      </c>
      <c r="B385" s="167"/>
      <c r="C385" s="278"/>
      <c r="D385" s="184"/>
      <c r="E385" s="285"/>
    </row>
    <row r="386" spans="1:5" ht="19.5" customHeight="1">
      <c r="A386" s="166" t="s">
        <v>354</v>
      </c>
      <c r="B386" s="167">
        <v>40</v>
      </c>
      <c r="C386" s="278">
        <f>SUM(C387:C391)</f>
        <v>40</v>
      </c>
      <c r="D386" s="184">
        <f t="shared" si="6"/>
        <v>1</v>
      </c>
      <c r="E386" s="285"/>
    </row>
    <row r="387" spans="1:5" ht="19.5" customHeight="1">
      <c r="A387" s="168" t="s">
        <v>345</v>
      </c>
      <c r="B387" s="169"/>
      <c r="C387" s="278"/>
      <c r="D387" s="184"/>
      <c r="E387" s="285"/>
    </row>
    <row r="388" spans="1:5" ht="19.5" customHeight="1">
      <c r="A388" s="170" t="s">
        <v>355</v>
      </c>
      <c r="B388" s="169"/>
      <c r="C388" s="278"/>
      <c r="D388" s="184"/>
      <c r="E388" s="285"/>
    </row>
    <row r="389" spans="1:5" ht="19.5" customHeight="1">
      <c r="A389" s="170" t="s">
        <v>356</v>
      </c>
      <c r="B389" s="169"/>
      <c r="C389" s="278"/>
      <c r="D389" s="184"/>
      <c r="E389" s="285"/>
    </row>
    <row r="390" spans="1:5" ht="19.5" customHeight="1">
      <c r="A390" s="170" t="s">
        <v>357</v>
      </c>
      <c r="B390" s="169"/>
      <c r="C390" s="278">
        <v>40</v>
      </c>
      <c r="D390" s="184"/>
      <c r="E390" s="285"/>
    </row>
    <row r="391" spans="1:5" ht="19.5" customHeight="1">
      <c r="A391" s="170" t="s">
        <v>358</v>
      </c>
      <c r="B391" s="169"/>
      <c r="C391" s="278"/>
      <c r="D391" s="184"/>
      <c r="E391" s="285"/>
    </row>
    <row r="392" spans="1:5" ht="19.5" customHeight="1">
      <c r="A392" s="166" t="s">
        <v>359</v>
      </c>
      <c r="B392" s="167">
        <v>100</v>
      </c>
      <c r="C392" s="278">
        <f>SUM(C393:C396)</f>
        <v>100</v>
      </c>
      <c r="D392" s="184">
        <f t="shared" si="6"/>
        <v>1</v>
      </c>
      <c r="E392" s="285">
        <f>C392/110</f>
        <v>0.90909090909090906</v>
      </c>
    </row>
    <row r="393" spans="1:5" ht="19.5" customHeight="1">
      <c r="A393" s="168" t="s">
        <v>345</v>
      </c>
      <c r="B393" s="169"/>
      <c r="C393" s="278"/>
      <c r="D393" s="184"/>
      <c r="E393" s="285"/>
    </row>
    <row r="394" spans="1:5" ht="19.5" customHeight="1">
      <c r="A394" s="170" t="s">
        <v>360</v>
      </c>
      <c r="B394" s="169"/>
      <c r="C394" s="278"/>
      <c r="D394" s="184"/>
      <c r="E394" s="285"/>
    </row>
    <row r="395" spans="1:5" ht="19.5" customHeight="1">
      <c r="A395" s="170" t="s">
        <v>361</v>
      </c>
      <c r="B395" s="169"/>
      <c r="C395" s="278">
        <v>100</v>
      </c>
      <c r="D395" s="184"/>
      <c r="E395" s="285">
        <f>C395/110</f>
        <v>0.90909090909090906</v>
      </c>
    </row>
    <row r="396" spans="1:5" ht="19.5" customHeight="1">
      <c r="A396" s="170" t="s">
        <v>362</v>
      </c>
      <c r="B396" s="169"/>
      <c r="C396" s="278"/>
      <c r="D396" s="184"/>
      <c r="E396" s="285"/>
    </row>
    <row r="397" spans="1:5" ht="19.5" customHeight="1">
      <c r="A397" s="166" t="s">
        <v>363</v>
      </c>
      <c r="B397" s="167"/>
      <c r="C397" s="278"/>
      <c r="D397" s="184"/>
      <c r="E397" s="285"/>
    </row>
    <row r="398" spans="1:5" ht="19.5" customHeight="1">
      <c r="A398" s="168" t="s">
        <v>364</v>
      </c>
      <c r="B398" s="169"/>
      <c r="C398" s="278"/>
      <c r="D398" s="184"/>
      <c r="E398" s="285"/>
    </row>
    <row r="399" spans="1:5" ht="19.5" customHeight="1">
      <c r="A399" s="170" t="s">
        <v>365</v>
      </c>
      <c r="B399" s="169"/>
      <c r="C399" s="278"/>
      <c r="D399" s="184"/>
      <c r="E399" s="285"/>
    </row>
    <row r="400" spans="1:5" ht="19.5" customHeight="1">
      <c r="A400" s="170" t="s">
        <v>366</v>
      </c>
      <c r="B400" s="169"/>
      <c r="C400" s="278"/>
      <c r="D400" s="184"/>
      <c r="E400" s="285"/>
    </row>
    <row r="401" spans="1:6" ht="19.5" customHeight="1">
      <c r="A401" s="170" t="s">
        <v>367</v>
      </c>
      <c r="B401" s="169"/>
      <c r="C401" s="278"/>
      <c r="D401" s="184"/>
      <c r="E401" s="285"/>
    </row>
    <row r="402" spans="1:6" ht="19.5" customHeight="1">
      <c r="A402" s="166" t="s">
        <v>368</v>
      </c>
      <c r="B402" s="167"/>
      <c r="C402" s="278"/>
      <c r="D402" s="184"/>
      <c r="E402" s="285"/>
    </row>
    <row r="403" spans="1:6" ht="19.5" customHeight="1">
      <c r="A403" s="168" t="s">
        <v>345</v>
      </c>
      <c r="B403" s="169"/>
      <c r="C403" s="278"/>
      <c r="D403" s="184"/>
      <c r="E403" s="285"/>
    </row>
    <row r="404" spans="1:6" ht="19.5" customHeight="1">
      <c r="A404" s="170" t="s">
        <v>369</v>
      </c>
      <c r="B404" s="169"/>
      <c r="C404" s="278"/>
      <c r="D404" s="184"/>
      <c r="E404" s="285"/>
    </row>
    <row r="405" spans="1:6" ht="19.5" customHeight="1">
      <c r="A405" s="170" t="s">
        <v>370</v>
      </c>
      <c r="B405" s="169"/>
      <c r="C405" s="278"/>
      <c r="D405" s="184"/>
      <c r="E405" s="285"/>
    </row>
    <row r="406" spans="1:6" ht="19.5" customHeight="1">
      <c r="A406" s="170" t="s">
        <v>371</v>
      </c>
      <c r="B406" s="169"/>
      <c r="C406" s="278"/>
      <c r="D406" s="184"/>
      <c r="E406" s="285"/>
    </row>
    <row r="407" spans="1:6" ht="19.5" customHeight="1">
      <c r="A407" s="170" t="s">
        <v>372</v>
      </c>
      <c r="B407" s="169"/>
      <c r="C407" s="278"/>
      <c r="D407" s="184"/>
      <c r="E407" s="285"/>
    </row>
    <row r="408" spans="1:6" ht="19.5" customHeight="1">
      <c r="A408" s="170" t="s">
        <v>373</v>
      </c>
      <c r="B408" s="169"/>
      <c r="C408" s="278"/>
      <c r="D408" s="184"/>
      <c r="E408" s="285"/>
    </row>
    <row r="409" spans="1:6" ht="19.5" customHeight="1">
      <c r="A409" s="166" t="s">
        <v>374</v>
      </c>
      <c r="B409" s="167"/>
      <c r="C409" s="278"/>
      <c r="D409" s="184"/>
      <c r="E409" s="285"/>
    </row>
    <row r="410" spans="1:6" ht="19.5" customHeight="1">
      <c r="A410" s="168" t="s">
        <v>375</v>
      </c>
      <c r="B410" s="169"/>
      <c r="C410" s="278"/>
      <c r="D410" s="184"/>
      <c r="E410" s="285"/>
    </row>
    <row r="411" spans="1:6" ht="19.5" customHeight="1">
      <c r="A411" s="170" t="s">
        <v>376</v>
      </c>
      <c r="B411" s="169"/>
      <c r="C411" s="278"/>
      <c r="D411" s="184"/>
      <c r="E411" s="285"/>
    </row>
    <row r="412" spans="1:6" ht="19.5" customHeight="1">
      <c r="A412" s="170" t="s">
        <v>377</v>
      </c>
      <c r="B412" s="169"/>
      <c r="C412" s="278"/>
      <c r="D412" s="184"/>
      <c r="E412" s="285"/>
    </row>
    <row r="413" spans="1:6" s="180" customFormat="1" ht="19.5" customHeight="1">
      <c r="A413" s="172" t="s">
        <v>378</v>
      </c>
      <c r="B413" s="177">
        <f>B414+B428+B436+B447+B455+B464</f>
        <v>1735</v>
      </c>
      <c r="C413" s="277">
        <f>C414+C428+C436+C447+C455+C464</f>
        <v>1735</v>
      </c>
      <c r="D413" s="181">
        <f t="shared" ref="D413:D447" si="7">C413/B413</f>
        <v>1</v>
      </c>
      <c r="E413" s="284">
        <f>C413/2186</f>
        <v>0.79368709972552609</v>
      </c>
      <c r="F413" s="178"/>
    </row>
    <row r="414" spans="1:6" ht="19.5" customHeight="1">
      <c r="A414" s="166" t="s">
        <v>379</v>
      </c>
      <c r="B414" s="167">
        <v>401</v>
      </c>
      <c r="C414" s="278">
        <f>SUM(C415:C427)</f>
        <v>401</v>
      </c>
      <c r="D414" s="184">
        <f t="shared" si="7"/>
        <v>1</v>
      </c>
      <c r="E414" s="285">
        <f>C414/914</f>
        <v>0.43873085339168488</v>
      </c>
    </row>
    <row r="415" spans="1:6" ht="19.5" customHeight="1">
      <c r="A415" s="168" t="s">
        <v>186</v>
      </c>
      <c r="B415" s="169"/>
      <c r="C415" s="278"/>
      <c r="D415" s="184"/>
      <c r="E415" s="285"/>
    </row>
    <row r="416" spans="1:6" ht="19.5" customHeight="1">
      <c r="A416" s="170" t="s">
        <v>176</v>
      </c>
      <c r="B416" s="169"/>
      <c r="C416" s="278">
        <v>152</v>
      </c>
      <c r="D416" s="184"/>
      <c r="E416" s="285">
        <f>C416/152</f>
        <v>1</v>
      </c>
    </row>
    <row r="417" spans="1:5" ht="19.5" customHeight="1">
      <c r="A417" s="170" t="s">
        <v>177</v>
      </c>
      <c r="B417" s="169"/>
      <c r="C417" s="278"/>
      <c r="D417" s="184"/>
      <c r="E417" s="285"/>
    </row>
    <row r="418" spans="1:5" ht="19.5" customHeight="1">
      <c r="A418" s="170" t="s">
        <v>380</v>
      </c>
      <c r="B418" s="169"/>
      <c r="C418" s="278"/>
      <c r="D418" s="184"/>
      <c r="E418" s="285"/>
    </row>
    <row r="419" spans="1:5" ht="19.5" customHeight="1">
      <c r="A419" s="170" t="s">
        <v>381</v>
      </c>
      <c r="B419" s="169"/>
      <c r="C419" s="278">
        <v>63</v>
      </c>
      <c r="D419" s="184"/>
      <c r="E419" s="285">
        <f>C419/54</f>
        <v>1.1666666666666667</v>
      </c>
    </row>
    <row r="420" spans="1:5" ht="19.5" customHeight="1">
      <c r="A420" s="170" t="s">
        <v>382</v>
      </c>
      <c r="B420" s="169"/>
      <c r="C420" s="278"/>
      <c r="D420" s="184"/>
      <c r="E420" s="285"/>
    </row>
    <row r="421" spans="1:5" ht="19.5" customHeight="1">
      <c r="A421" s="170" t="s">
        <v>383</v>
      </c>
      <c r="B421" s="169"/>
      <c r="C421" s="278">
        <v>37</v>
      </c>
      <c r="D421" s="184"/>
      <c r="E421" s="285">
        <f>C421/36</f>
        <v>1.0277777777777777</v>
      </c>
    </row>
    <row r="422" spans="1:5" ht="19.5" customHeight="1">
      <c r="A422" s="170" t="s">
        <v>384</v>
      </c>
      <c r="B422" s="169"/>
      <c r="C422" s="278"/>
      <c r="D422" s="184"/>
      <c r="E422" s="285"/>
    </row>
    <row r="423" spans="1:5" ht="19.5" customHeight="1">
      <c r="A423" s="170" t="s">
        <v>385</v>
      </c>
      <c r="B423" s="169"/>
      <c r="C423" s="278">
        <v>14</v>
      </c>
      <c r="D423" s="184"/>
      <c r="E423" s="285">
        <f>C423/14</f>
        <v>1</v>
      </c>
    </row>
    <row r="424" spans="1:5" ht="19.5" customHeight="1">
      <c r="A424" s="170" t="s">
        <v>386</v>
      </c>
      <c r="B424" s="169"/>
      <c r="C424" s="278"/>
      <c r="D424" s="184"/>
      <c r="E424" s="285"/>
    </row>
    <row r="425" spans="1:5" ht="19.5" customHeight="1">
      <c r="A425" s="170" t="s">
        <v>387</v>
      </c>
      <c r="B425" s="169"/>
      <c r="C425" s="278">
        <v>25</v>
      </c>
      <c r="D425" s="184"/>
      <c r="E425" s="285"/>
    </row>
    <row r="426" spans="1:5" ht="19.5" customHeight="1">
      <c r="A426" s="170" t="s">
        <v>388</v>
      </c>
      <c r="B426" s="169"/>
      <c r="C426" s="278"/>
      <c r="D426" s="184"/>
      <c r="E426" s="285"/>
    </row>
    <row r="427" spans="1:5" ht="19.5" customHeight="1">
      <c r="A427" s="170" t="s">
        <v>389</v>
      </c>
      <c r="B427" s="169"/>
      <c r="C427" s="278">
        <v>110</v>
      </c>
      <c r="D427" s="184"/>
      <c r="E427" s="285">
        <f>C427/656</f>
        <v>0.1676829268292683</v>
      </c>
    </row>
    <row r="428" spans="1:5" ht="19.5" customHeight="1">
      <c r="A428" s="166" t="s">
        <v>390</v>
      </c>
      <c r="B428" s="167"/>
      <c r="C428" s="278">
        <f>SUM(C429:C435)</f>
        <v>0</v>
      </c>
      <c r="D428" s="184"/>
      <c r="E428" s="285"/>
    </row>
    <row r="429" spans="1:5" ht="19.5" customHeight="1">
      <c r="A429" s="168" t="s">
        <v>186</v>
      </c>
      <c r="B429" s="169"/>
      <c r="C429" s="278"/>
      <c r="D429" s="184"/>
      <c r="E429" s="285"/>
    </row>
    <row r="430" spans="1:5" ht="19.5" customHeight="1">
      <c r="A430" s="170" t="s">
        <v>176</v>
      </c>
      <c r="B430" s="169"/>
      <c r="C430" s="278"/>
      <c r="D430" s="184"/>
      <c r="E430" s="285"/>
    </row>
    <row r="431" spans="1:5" ht="19.5" customHeight="1">
      <c r="A431" s="170" t="s">
        <v>177</v>
      </c>
      <c r="B431" s="169"/>
      <c r="C431" s="278"/>
      <c r="D431" s="184"/>
      <c r="E431" s="285"/>
    </row>
    <row r="432" spans="1:5" ht="19.5" customHeight="1">
      <c r="A432" s="170" t="s">
        <v>391</v>
      </c>
      <c r="B432" s="169"/>
      <c r="C432" s="278"/>
      <c r="D432" s="184"/>
      <c r="E432" s="285"/>
    </row>
    <row r="433" spans="1:5" ht="19.5" customHeight="1">
      <c r="A433" s="170" t="s">
        <v>392</v>
      </c>
      <c r="B433" s="169"/>
      <c r="C433" s="278"/>
      <c r="D433" s="184"/>
      <c r="E433" s="285"/>
    </row>
    <row r="434" spans="1:5" ht="19.5" customHeight="1">
      <c r="A434" s="170" t="s">
        <v>393</v>
      </c>
      <c r="B434" s="169"/>
      <c r="C434" s="278"/>
      <c r="D434" s="184"/>
      <c r="E434" s="285"/>
    </row>
    <row r="435" spans="1:5" ht="19.5" customHeight="1">
      <c r="A435" s="170" t="s">
        <v>394</v>
      </c>
      <c r="B435" s="169"/>
      <c r="C435" s="278"/>
      <c r="D435" s="184"/>
      <c r="E435" s="285"/>
    </row>
    <row r="436" spans="1:5" ht="19.5" customHeight="1">
      <c r="A436" s="166" t="s">
        <v>395</v>
      </c>
      <c r="B436" s="167"/>
      <c r="C436" s="278"/>
      <c r="D436" s="184"/>
      <c r="E436" s="285"/>
    </row>
    <row r="437" spans="1:5" ht="19.5" customHeight="1">
      <c r="A437" s="168" t="s">
        <v>186</v>
      </c>
      <c r="B437" s="169"/>
      <c r="C437" s="278"/>
      <c r="D437" s="184"/>
      <c r="E437" s="285"/>
    </row>
    <row r="438" spans="1:5" ht="19.5" customHeight="1">
      <c r="A438" s="170" t="s">
        <v>176</v>
      </c>
      <c r="B438" s="169"/>
      <c r="C438" s="278"/>
      <c r="D438" s="184"/>
      <c r="E438" s="285"/>
    </row>
    <row r="439" spans="1:5" ht="19.5" customHeight="1">
      <c r="A439" s="170" t="s">
        <v>177</v>
      </c>
      <c r="B439" s="169"/>
      <c r="C439" s="278"/>
      <c r="D439" s="184"/>
      <c r="E439" s="285"/>
    </row>
    <row r="440" spans="1:5" ht="19.5" customHeight="1">
      <c r="A440" s="170" t="s">
        <v>396</v>
      </c>
      <c r="B440" s="169"/>
      <c r="C440" s="278"/>
      <c r="D440" s="184"/>
      <c r="E440" s="285"/>
    </row>
    <row r="441" spans="1:5" ht="19.5" customHeight="1">
      <c r="A441" s="170" t="s">
        <v>397</v>
      </c>
      <c r="B441" s="169"/>
      <c r="C441" s="278"/>
      <c r="D441" s="184"/>
      <c r="E441" s="285"/>
    </row>
    <row r="442" spans="1:5" ht="19.5" customHeight="1">
      <c r="A442" s="170" t="s">
        <v>398</v>
      </c>
      <c r="B442" s="169"/>
      <c r="C442" s="278"/>
      <c r="D442" s="184"/>
      <c r="E442" s="285"/>
    </row>
    <row r="443" spans="1:5" ht="19.5" customHeight="1">
      <c r="A443" s="170" t="s">
        <v>399</v>
      </c>
      <c r="B443" s="169"/>
      <c r="C443" s="278"/>
      <c r="D443" s="184"/>
      <c r="E443" s="285"/>
    </row>
    <row r="444" spans="1:5" ht="19.5" customHeight="1">
      <c r="A444" s="170" t="s">
        <v>400</v>
      </c>
      <c r="B444" s="169"/>
      <c r="C444" s="278"/>
      <c r="D444" s="184"/>
      <c r="E444" s="285"/>
    </row>
    <row r="445" spans="1:5" ht="19.5" customHeight="1">
      <c r="A445" s="170" t="s">
        <v>401</v>
      </c>
      <c r="B445" s="169"/>
      <c r="C445" s="278"/>
      <c r="D445" s="184"/>
      <c r="E445" s="285"/>
    </row>
    <row r="446" spans="1:5" ht="19.5" customHeight="1">
      <c r="A446" s="170" t="s">
        <v>402</v>
      </c>
      <c r="B446" s="169"/>
      <c r="C446" s="278"/>
      <c r="D446" s="184"/>
      <c r="E446" s="285"/>
    </row>
    <row r="447" spans="1:5" ht="19.5" customHeight="1">
      <c r="A447" s="166" t="s">
        <v>403</v>
      </c>
      <c r="B447" s="167">
        <v>1109</v>
      </c>
      <c r="C447" s="278">
        <f>SUM(C448:C454)</f>
        <v>1109</v>
      </c>
      <c r="D447" s="184">
        <f t="shared" si="7"/>
        <v>1</v>
      </c>
      <c r="E447" s="285">
        <f>C447/668</f>
        <v>1.6601796407185629</v>
      </c>
    </row>
    <row r="448" spans="1:5" ht="19.5" customHeight="1">
      <c r="A448" s="168" t="s">
        <v>186</v>
      </c>
      <c r="B448" s="169"/>
      <c r="C448" s="278">
        <v>994</v>
      </c>
      <c r="D448" s="184"/>
      <c r="E448" s="285">
        <f>C448/551</f>
        <v>1.8039927404718694</v>
      </c>
    </row>
    <row r="449" spans="1:5" ht="19.5" customHeight="1">
      <c r="A449" s="170" t="s">
        <v>176</v>
      </c>
      <c r="B449" s="169"/>
      <c r="C449" s="278"/>
      <c r="D449" s="184"/>
      <c r="E449" s="285"/>
    </row>
    <row r="450" spans="1:5" ht="19.5" customHeight="1">
      <c r="A450" s="170" t="s">
        <v>177</v>
      </c>
      <c r="B450" s="169"/>
      <c r="C450" s="278"/>
      <c r="D450" s="184"/>
      <c r="E450" s="285"/>
    </row>
    <row r="451" spans="1:5" ht="19.5" customHeight="1">
      <c r="A451" s="170" t="s">
        <v>404</v>
      </c>
      <c r="B451" s="169"/>
      <c r="C451" s="278">
        <v>16</v>
      </c>
      <c r="D451" s="184"/>
      <c r="E451" s="285"/>
    </row>
    <row r="452" spans="1:5" ht="19.5" customHeight="1">
      <c r="A452" s="170" t="s">
        <v>405</v>
      </c>
      <c r="B452" s="169"/>
      <c r="C452" s="278"/>
      <c r="D452" s="184"/>
      <c r="E452" s="285"/>
    </row>
    <row r="453" spans="1:5" ht="19.5" customHeight="1">
      <c r="A453" s="170" t="s">
        <v>406</v>
      </c>
      <c r="B453" s="169"/>
      <c r="C453" s="278"/>
      <c r="D453" s="184"/>
      <c r="E453" s="285"/>
    </row>
    <row r="454" spans="1:5" ht="19.5" customHeight="1">
      <c r="A454" s="170" t="s">
        <v>407</v>
      </c>
      <c r="B454" s="169"/>
      <c r="C454" s="278">
        <v>99</v>
      </c>
      <c r="D454" s="184"/>
      <c r="E454" s="285">
        <f>C454/117</f>
        <v>0.84615384615384615</v>
      </c>
    </row>
    <row r="455" spans="1:5" ht="19.5" customHeight="1">
      <c r="A455" s="166" t="s">
        <v>408</v>
      </c>
      <c r="B455" s="167"/>
      <c r="C455" s="278"/>
      <c r="D455" s="184"/>
      <c r="E455" s="285"/>
    </row>
    <row r="456" spans="1:5" ht="19.5" customHeight="1">
      <c r="A456" s="168" t="s">
        <v>186</v>
      </c>
      <c r="B456" s="169"/>
      <c r="C456" s="278"/>
      <c r="D456" s="184"/>
      <c r="E456" s="285"/>
    </row>
    <row r="457" spans="1:5" ht="19.5" customHeight="1">
      <c r="A457" s="170" t="s">
        <v>176</v>
      </c>
      <c r="B457" s="169"/>
      <c r="C457" s="278"/>
      <c r="D457" s="184"/>
      <c r="E457" s="285"/>
    </row>
    <row r="458" spans="1:5" ht="19.5" customHeight="1">
      <c r="A458" s="170" t="s">
        <v>177</v>
      </c>
      <c r="B458" s="169"/>
      <c r="C458" s="278"/>
      <c r="D458" s="184"/>
      <c r="E458" s="285"/>
    </row>
    <row r="459" spans="1:5" ht="19.5" customHeight="1">
      <c r="A459" s="170" t="s">
        <v>409</v>
      </c>
      <c r="B459" s="169"/>
      <c r="C459" s="278"/>
      <c r="D459" s="184"/>
      <c r="E459" s="285"/>
    </row>
    <row r="460" spans="1:5" ht="19.5" customHeight="1">
      <c r="A460" s="170" t="s">
        <v>410</v>
      </c>
      <c r="B460" s="169"/>
      <c r="C460" s="278"/>
      <c r="D460" s="184"/>
      <c r="E460" s="285"/>
    </row>
    <row r="461" spans="1:5" ht="19.5" customHeight="1">
      <c r="A461" s="170" t="s">
        <v>411</v>
      </c>
      <c r="B461" s="169"/>
      <c r="C461" s="278"/>
      <c r="D461" s="184"/>
      <c r="E461" s="285"/>
    </row>
    <row r="462" spans="1:5" ht="19.5" customHeight="1">
      <c r="A462" s="170" t="s">
        <v>412</v>
      </c>
      <c r="B462" s="169"/>
      <c r="C462" s="278"/>
      <c r="D462" s="184"/>
      <c r="E462" s="285"/>
    </row>
    <row r="463" spans="1:5" ht="19.5" customHeight="1">
      <c r="A463" s="170" t="s">
        <v>413</v>
      </c>
      <c r="B463" s="169"/>
      <c r="C463" s="278"/>
      <c r="D463" s="184"/>
      <c r="E463" s="285"/>
    </row>
    <row r="464" spans="1:5" ht="19.5" customHeight="1">
      <c r="A464" s="166" t="s">
        <v>414</v>
      </c>
      <c r="B464" s="167">
        <v>225</v>
      </c>
      <c r="C464" s="278">
        <f>SUM(C465:C467)</f>
        <v>225</v>
      </c>
      <c r="D464" s="184">
        <f t="shared" ref="D464:D512" si="8">C464/B464</f>
        <v>1</v>
      </c>
      <c r="E464" s="285">
        <f>C464/524</f>
        <v>0.42938931297709926</v>
      </c>
    </row>
    <row r="465" spans="1:6" ht="19.5" customHeight="1">
      <c r="A465" s="168" t="s">
        <v>415</v>
      </c>
      <c r="B465" s="169"/>
      <c r="C465" s="278"/>
      <c r="D465" s="184"/>
      <c r="E465" s="285"/>
    </row>
    <row r="466" spans="1:6" ht="19.5" customHeight="1">
      <c r="A466" s="170" t="s">
        <v>416</v>
      </c>
      <c r="B466" s="169"/>
      <c r="C466" s="278"/>
      <c r="D466" s="184"/>
      <c r="E466" s="285"/>
    </row>
    <row r="467" spans="1:6" ht="19.5" customHeight="1">
      <c r="A467" s="170" t="s">
        <v>417</v>
      </c>
      <c r="B467" s="169"/>
      <c r="C467" s="278">
        <v>225</v>
      </c>
      <c r="D467" s="184"/>
      <c r="E467" s="285">
        <f>C467/524</f>
        <v>0.42938931297709926</v>
      </c>
    </row>
    <row r="468" spans="1:6" s="180" customFormat="1" ht="19.5" customHeight="1">
      <c r="A468" s="172" t="s">
        <v>418</v>
      </c>
      <c r="B468" s="177">
        <f>B469+B483+B494+B502+B508+B512+B526+B534+B535+B542+B550+B555+B560+B563+B566+B569+B570</f>
        <v>16271</v>
      </c>
      <c r="C468" s="277">
        <f>C469+C483+C494+C502+C508+C512+C526+C534+C535+C542+C550+C555+C560+C563+C566+C569+C570</f>
        <v>16626</v>
      </c>
      <c r="D468" s="181">
        <f t="shared" si="8"/>
        <v>1.0218179583307725</v>
      </c>
      <c r="E468" s="284">
        <f>C468/14470</f>
        <v>1.1489979267449897</v>
      </c>
      <c r="F468" s="178"/>
    </row>
    <row r="469" spans="1:6" ht="19.5" customHeight="1">
      <c r="A469" s="166" t="s">
        <v>419</v>
      </c>
      <c r="B469" s="167">
        <v>613</v>
      </c>
      <c r="C469" s="278">
        <f>SUM(C470:C482)</f>
        <v>613</v>
      </c>
      <c r="D469" s="184">
        <f t="shared" si="8"/>
        <v>1</v>
      </c>
      <c r="E469" s="285">
        <f>C469/577</f>
        <v>1.0623916811091854</v>
      </c>
    </row>
    <row r="470" spans="1:6" ht="19.5" customHeight="1">
      <c r="A470" s="168" t="s">
        <v>186</v>
      </c>
      <c r="B470" s="169"/>
      <c r="C470" s="278">
        <v>613</v>
      </c>
      <c r="D470" s="184"/>
      <c r="E470" s="285">
        <f>C470/567</f>
        <v>1.0811287477954146</v>
      </c>
    </row>
    <row r="471" spans="1:6" ht="19.5" customHeight="1">
      <c r="A471" s="170" t="s">
        <v>176</v>
      </c>
      <c r="B471" s="169"/>
      <c r="C471" s="278"/>
      <c r="D471" s="184"/>
      <c r="E471" s="285"/>
    </row>
    <row r="472" spans="1:6" ht="19.5" customHeight="1">
      <c r="A472" s="170" t="s">
        <v>177</v>
      </c>
      <c r="B472" s="169"/>
      <c r="C472" s="278"/>
      <c r="D472" s="184"/>
      <c r="E472" s="285"/>
    </row>
    <row r="473" spans="1:6" ht="19.5" customHeight="1">
      <c r="A473" s="170" t="s">
        <v>420</v>
      </c>
      <c r="B473" s="169"/>
      <c r="C473" s="278"/>
      <c r="D473" s="184"/>
      <c r="E473" s="285"/>
    </row>
    <row r="474" spans="1:6" ht="19.5" customHeight="1">
      <c r="A474" s="170" t="s">
        <v>421</v>
      </c>
      <c r="B474" s="169"/>
      <c r="C474" s="278"/>
      <c r="D474" s="184"/>
      <c r="E474" s="285"/>
    </row>
    <row r="475" spans="1:6" ht="19.5" customHeight="1">
      <c r="A475" s="170" t="s">
        <v>422</v>
      </c>
      <c r="B475" s="169"/>
      <c r="C475" s="278"/>
      <c r="D475" s="184"/>
      <c r="E475" s="285"/>
    </row>
    <row r="476" spans="1:6" ht="19.5" customHeight="1">
      <c r="A476" s="170" t="s">
        <v>423</v>
      </c>
      <c r="B476" s="169"/>
      <c r="C476" s="278"/>
      <c r="D476" s="184"/>
      <c r="E476" s="285"/>
    </row>
    <row r="477" spans="1:6" ht="19.5" customHeight="1">
      <c r="A477" s="170" t="s">
        <v>218</v>
      </c>
      <c r="B477" s="169"/>
      <c r="C477" s="278"/>
      <c r="D477" s="184"/>
      <c r="E477" s="285"/>
    </row>
    <row r="478" spans="1:6" ht="19.5" customHeight="1">
      <c r="A478" s="170" t="s">
        <v>424</v>
      </c>
      <c r="B478" s="169"/>
      <c r="C478" s="278"/>
      <c r="D478" s="184"/>
      <c r="E478" s="285"/>
    </row>
    <row r="479" spans="1:6" ht="19.5" customHeight="1">
      <c r="A479" s="170" t="s">
        <v>425</v>
      </c>
      <c r="B479" s="169"/>
      <c r="C479" s="278"/>
      <c r="D479" s="184"/>
      <c r="E479" s="285"/>
    </row>
    <row r="480" spans="1:6" ht="19.5" customHeight="1">
      <c r="A480" s="170" t="s">
        <v>426</v>
      </c>
      <c r="B480" s="169"/>
      <c r="C480" s="278"/>
      <c r="D480" s="184"/>
      <c r="E480" s="285"/>
    </row>
    <row r="481" spans="1:5" ht="19.5" customHeight="1">
      <c r="A481" s="170" t="s">
        <v>427</v>
      </c>
      <c r="B481" s="169"/>
      <c r="C481" s="278"/>
      <c r="D481" s="184"/>
      <c r="E481" s="285"/>
    </row>
    <row r="482" spans="1:5" ht="19.5" customHeight="1">
      <c r="A482" s="170" t="s">
        <v>428</v>
      </c>
      <c r="B482" s="169"/>
      <c r="C482" s="278"/>
      <c r="D482" s="184"/>
      <c r="E482" s="285"/>
    </row>
    <row r="483" spans="1:5" ht="19.5" customHeight="1">
      <c r="A483" s="166" t="s">
        <v>429</v>
      </c>
      <c r="B483" s="167">
        <v>542</v>
      </c>
      <c r="C483" s="278">
        <f>SUM(C484:C493)</f>
        <v>542</v>
      </c>
      <c r="D483" s="184">
        <f t="shared" si="8"/>
        <v>1</v>
      </c>
      <c r="E483" s="285">
        <f>C483/508</f>
        <v>1.0669291338582678</v>
      </c>
    </row>
    <row r="484" spans="1:5" ht="19.5" customHeight="1">
      <c r="A484" s="168" t="s">
        <v>186</v>
      </c>
      <c r="B484" s="169"/>
      <c r="C484" s="278">
        <v>381</v>
      </c>
      <c r="D484" s="184"/>
      <c r="E484" s="285">
        <f>C484/355</f>
        <v>1.0732394366197182</v>
      </c>
    </row>
    <row r="485" spans="1:5" ht="19.5" customHeight="1">
      <c r="A485" s="170" t="s">
        <v>176</v>
      </c>
      <c r="B485" s="169"/>
      <c r="C485" s="278"/>
      <c r="D485" s="184"/>
      <c r="E485" s="285"/>
    </row>
    <row r="486" spans="1:5" ht="19.5" customHeight="1">
      <c r="A486" s="170" t="s">
        <v>177</v>
      </c>
      <c r="B486" s="169"/>
      <c r="C486" s="278"/>
      <c r="D486" s="184"/>
      <c r="E486" s="285"/>
    </row>
    <row r="487" spans="1:5" ht="19.5" customHeight="1">
      <c r="A487" s="170" t="s">
        <v>430</v>
      </c>
      <c r="B487" s="169"/>
      <c r="C487" s="278"/>
      <c r="D487" s="184"/>
      <c r="E487" s="285"/>
    </row>
    <row r="488" spans="1:5" ht="19.5" customHeight="1">
      <c r="A488" s="170" t="s">
        <v>431</v>
      </c>
      <c r="B488" s="169"/>
      <c r="C488" s="278">
        <v>99</v>
      </c>
      <c r="D488" s="184"/>
      <c r="E488" s="285">
        <f>C488/61</f>
        <v>1.6229508196721312</v>
      </c>
    </row>
    <row r="489" spans="1:5" ht="19.5" customHeight="1">
      <c r="A489" s="170" t="s">
        <v>432</v>
      </c>
      <c r="B489" s="169"/>
      <c r="C489" s="278"/>
      <c r="D489" s="184"/>
      <c r="E489" s="285"/>
    </row>
    <row r="490" spans="1:5" ht="19.5" customHeight="1">
      <c r="A490" s="170" t="s">
        <v>433</v>
      </c>
      <c r="B490" s="169"/>
      <c r="C490" s="278">
        <v>15</v>
      </c>
      <c r="D490" s="184"/>
      <c r="E490" s="285">
        <f>C490/44</f>
        <v>0.34090909090909088</v>
      </c>
    </row>
    <row r="491" spans="1:5" ht="19.5" customHeight="1">
      <c r="A491" s="170" t="s">
        <v>434</v>
      </c>
      <c r="B491" s="169"/>
      <c r="C491" s="278"/>
      <c r="D491" s="184"/>
      <c r="E491" s="285"/>
    </row>
    <row r="492" spans="1:5" ht="19.5" customHeight="1">
      <c r="A492" s="170" t="s">
        <v>435</v>
      </c>
      <c r="B492" s="169"/>
      <c r="C492" s="278"/>
      <c r="D492" s="184"/>
      <c r="E492" s="285"/>
    </row>
    <row r="493" spans="1:5" ht="19.5" customHeight="1">
      <c r="A493" s="170" t="s">
        <v>436</v>
      </c>
      <c r="B493" s="169"/>
      <c r="C493" s="278">
        <v>47</v>
      </c>
      <c r="D493" s="184"/>
      <c r="E493" s="285">
        <f>C493/48</f>
        <v>0.97916666666666663</v>
      </c>
    </row>
    <row r="494" spans="1:5" ht="19.5" customHeight="1">
      <c r="A494" s="166" t="s">
        <v>437</v>
      </c>
      <c r="B494" s="167">
        <f>822+53</f>
        <v>875</v>
      </c>
      <c r="C494" s="278">
        <f>SUM(C495:C501)</f>
        <v>2005</v>
      </c>
      <c r="D494" s="184">
        <f t="shared" si="8"/>
        <v>2.2914285714285714</v>
      </c>
      <c r="E494" s="285">
        <f>C494/683</f>
        <v>2.9355783308931187</v>
      </c>
    </row>
    <row r="495" spans="1:5" ht="19.5" customHeight="1">
      <c r="A495" s="168" t="s">
        <v>438</v>
      </c>
      <c r="B495" s="169"/>
      <c r="C495" s="278">
        <v>480</v>
      </c>
      <c r="D495" s="184"/>
      <c r="E495" s="285">
        <f>C495/663</f>
        <v>0.72398190045248867</v>
      </c>
    </row>
    <row r="496" spans="1:5" ht="19.5" customHeight="1">
      <c r="A496" s="170" t="s">
        <v>439</v>
      </c>
      <c r="B496" s="169"/>
      <c r="C496" s="278">
        <v>17</v>
      </c>
      <c r="D496" s="184"/>
      <c r="E496" s="285"/>
    </row>
    <row r="497" spans="1:5" ht="19.5" customHeight="1">
      <c r="A497" s="170" t="s">
        <v>440</v>
      </c>
      <c r="B497" s="169"/>
      <c r="C497" s="278">
        <v>650</v>
      </c>
      <c r="D497" s="184"/>
      <c r="E497" s="285"/>
    </row>
    <row r="498" spans="1:5" ht="19.5" customHeight="1">
      <c r="A498" s="170" t="s">
        <v>441</v>
      </c>
      <c r="B498" s="169"/>
      <c r="C498" s="278">
        <v>20</v>
      </c>
      <c r="D498" s="184"/>
      <c r="E498" s="285"/>
    </row>
    <row r="499" spans="1:5" ht="19.5" customHeight="1">
      <c r="A499" s="170" t="s">
        <v>442</v>
      </c>
      <c r="B499" s="169"/>
      <c r="C499" s="278">
        <v>16</v>
      </c>
      <c r="D499" s="184"/>
      <c r="E499" s="285">
        <f>C499/20</f>
        <v>0.8</v>
      </c>
    </row>
    <row r="500" spans="1:5" ht="19.5" customHeight="1">
      <c r="A500" s="170" t="s">
        <v>443</v>
      </c>
      <c r="B500" s="169"/>
      <c r="C500" s="278">
        <v>819</v>
      </c>
      <c r="D500" s="184"/>
      <c r="E500" s="285"/>
    </row>
    <row r="501" spans="1:5" ht="19.5" customHeight="1">
      <c r="A501" s="170" t="s">
        <v>444</v>
      </c>
      <c r="B501" s="169"/>
      <c r="C501" s="278">
        <v>3</v>
      </c>
      <c r="D501" s="184"/>
      <c r="E501" s="285"/>
    </row>
    <row r="502" spans="1:5" ht="19.5" customHeight="1">
      <c r="A502" s="166" t="s">
        <v>445</v>
      </c>
      <c r="B502" s="167">
        <v>8594</v>
      </c>
      <c r="C502" s="278">
        <f>SUM(C503:C507)</f>
        <v>8114</v>
      </c>
      <c r="D502" s="184">
        <f t="shared" si="8"/>
        <v>0.94414707935769138</v>
      </c>
      <c r="E502" s="285">
        <f>C502/7952</f>
        <v>1.0203722334004024</v>
      </c>
    </row>
    <row r="503" spans="1:5" ht="19.5" customHeight="1">
      <c r="A503" s="168" t="s">
        <v>446</v>
      </c>
      <c r="B503" s="169"/>
      <c r="C503" s="278">
        <v>3756</v>
      </c>
      <c r="D503" s="184"/>
      <c r="E503" s="285">
        <f>C503/3836</f>
        <v>0.97914494264859231</v>
      </c>
    </row>
    <row r="504" spans="1:5" ht="19.5" customHeight="1">
      <c r="A504" s="170" t="s">
        <v>447</v>
      </c>
      <c r="B504" s="169"/>
      <c r="C504" s="278">
        <v>4358</v>
      </c>
      <c r="D504" s="184"/>
      <c r="E504" s="285">
        <f>C504/4116</f>
        <v>1.0587949465500486</v>
      </c>
    </row>
    <row r="505" spans="1:5" ht="19.5" customHeight="1">
      <c r="A505" s="170" t="s">
        <v>448</v>
      </c>
      <c r="B505" s="169"/>
      <c r="C505" s="278"/>
      <c r="D505" s="184"/>
      <c r="E505" s="285"/>
    </row>
    <row r="506" spans="1:5" ht="19.5" customHeight="1">
      <c r="A506" s="170" t="s">
        <v>449</v>
      </c>
      <c r="B506" s="169"/>
      <c r="C506" s="278"/>
      <c r="D506" s="184"/>
      <c r="E506" s="285"/>
    </row>
    <row r="507" spans="1:5" ht="19.5" customHeight="1">
      <c r="A507" s="170" t="s">
        <v>450</v>
      </c>
      <c r="B507" s="169"/>
      <c r="C507" s="278"/>
      <c r="D507" s="184"/>
      <c r="E507" s="285"/>
    </row>
    <row r="508" spans="1:5" ht="19.5" customHeight="1">
      <c r="A508" s="166" t="s">
        <v>451</v>
      </c>
      <c r="B508" s="167"/>
      <c r="C508" s="278"/>
      <c r="D508" s="184"/>
      <c r="E508" s="285"/>
    </row>
    <row r="509" spans="1:5" ht="19.5" customHeight="1">
      <c r="A509" s="168" t="s">
        <v>452</v>
      </c>
      <c r="B509" s="169"/>
      <c r="C509" s="278"/>
      <c r="D509" s="184"/>
      <c r="E509" s="285"/>
    </row>
    <row r="510" spans="1:5" ht="19.5" customHeight="1">
      <c r="A510" s="170" t="s">
        <v>453</v>
      </c>
      <c r="B510" s="169"/>
      <c r="C510" s="278"/>
      <c r="D510" s="184"/>
      <c r="E510" s="285"/>
    </row>
    <row r="511" spans="1:5" ht="19.5" customHeight="1">
      <c r="A511" s="170" t="s">
        <v>454</v>
      </c>
      <c r="B511" s="169"/>
      <c r="C511" s="278"/>
      <c r="D511" s="184"/>
      <c r="E511" s="285"/>
    </row>
    <row r="512" spans="1:5" ht="19.5" customHeight="1">
      <c r="A512" s="166" t="s">
        <v>455</v>
      </c>
      <c r="B512" s="167">
        <v>782</v>
      </c>
      <c r="C512" s="278">
        <f>SUM(C513:C525)</f>
        <v>488</v>
      </c>
      <c r="D512" s="184">
        <f t="shared" si="8"/>
        <v>0.6240409207161125</v>
      </c>
      <c r="E512" s="285">
        <f>C512/466</f>
        <v>1.0472103004291846</v>
      </c>
    </row>
    <row r="513" spans="1:5" ht="19.5" customHeight="1">
      <c r="A513" s="168" t="s">
        <v>456</v>
      </c>
      <c r="B513" s="169"/>
      <c r="C513" s="278"/>
      <c r="D513" s="184"/>
      <c r="E513" s="285"/>
    </row>
    <row r="514" spans="1:5" ht="19.5" customHeight="1">
      <c r="A514" s="170" t="s">
        <v>457</v>
      </c>
      <c r="B514" s="169"/>
      <c r="C514" s="278"/>
      <c r="D514" s="184"/>
      <c r="E514" s="285"/>
    </row>
    <row r="515" spans="1:5" ht="19.5" customHeight="1">
      <c r="A515" s="170" t="s">
        <v>458</v>
      </c>
      <c r="B515" s="169"/>
      <c r="C515" s="278"/>
      <c r="D515" s="184"/>
      <c r="E515" s="285"/>
    </row>
    <row r="516" spans="1:5" ht="19.5" customHeight="1">
      <c r="A516" s="170" t="s">
        <v>459</v>
      </c>
      <c r="B516" s="169"/>
      <c r="C516" s="278"/>
      <c r="D516" s="184"/>
      <c r="E516" s="285"/>
    </row>
    <row r="517" spans="1:5" ht="19.5" customHeight="1">
      <c r="A517" s="170" t="s">
        <v>460</v>
      </c>
      <c r="B517" s="169"/>
      <c r="C517" s="278">
        <v>100</v>
      </c>
      <c r="D517" s="184"/>
      <c r="E517" s="285"/>
    </row>
    <row r="518" spans="1:5" ht="19.5" customHeight="1">
      <c r="A518" s="170" t="s">
        <v>461</v>
      </c>
      <c r="B518" s="169"/>
      <c r="C518" s="278"/>
      <c r="D518" s="184"/>
      <c r="E518" s="285"/>
    </row>
    <row r="519" spans="1:5" ht="19.5" customHeight="1">
      <c r="A519" s="170" t="s">
        <v>462</v>
      </c>
      <c r="B519" s="169"/>
      <c r="C519" s="278"/>
      <c r="D519" s="184"/>
      <c r="E519" s="285"/>
    </row>
    <row r="520" spans="1:5" ht="19.5" customHeight="1">
      <c r="A520" s="170" t="s">
        <v>463</v>
      </c>
      <c r="B520" s="169"/>
      <c r="C520" s="278"/>
      <c r="D520" s="184"/>
      <c r="E520" s="285"/>
    </row>
    <row r="521" spans="1:5" ht="19.5" customHeight="1">
      <c r="A521" s="170" t="s">
        <v>464</v>
      </c>
      <c r="B521" s="169"/>
      <c r="C521" s="278"/>
      <c r="D521" s="184"/>
      <c r="E521" s="285"/>
    </row>
    <row r="522" spans="1:5" ht="19.5" customHeight="1">
      <c r="A522" s="170" t="s">
        <v>465</v>
      </c>
      <c r="B522" s="169"/>
      <c r="C522" s="278"/>
      <c r="D522" s="184"/>
      <c r="E522" s="285"/>
    </row>
    <row r="523" spans="1:5" ht="19.5" customHeight="1">
      <c r="A523" s="170" t="s">
        <v>466</v>
      </c>
      <c r="B523" s="169"/>
      <c r="C523" s="278"/>
      <c r="D523" s="184"/>
      <c r="E523" s="285"/>
    </row>
    <row r="524" spans="1:5" ht="19.5" customHeight="1">
      <c r="A524" s="170" t="s">
        <v>467</v>
      </c>
      <c r="B524" s="169"/>
      <c r="C524" s="278">
        <v>10</v>
      </c>
      <c r="D524" s="184"/>
      <c r="E524" s="285">
        <f>C524/15</f>
        <v>0.66666666666666663</v>
      </c>
    </row>
    <row r="525" spans="1:5" ht="19.5" customHeight="1">
      <c r="A525" s="170" t="s">
        <v>468</v>
      </c>
      <c r="B525" s="169"/>
      <c r="C525" s="278">
        <v>378</v>
      </c>
      <c r="D525" s="184"/>
      <c r="E525" s="285">
        <f>C525/451</f>
        <v>0.83813747228381374</v>
      </c>
    </row>
    <row r="526" spans="1:5" ht="19.5" customHeight="1">
      <c r="A526" s="166" t="s">
        <v>469</v>
      </c>
      <c r="B526" s="167">
        <v>308</v>
      </c>
      <c r="C526" s="278">
        <f>SUM(C527:C533)</f>
        <v>308</v>
      </c>
      <c r="D526" s="184">
        <f t="shared" ref="D526:D581" si="9">C526/B526</f>
        <v>1</v>
      </c>
      <c r="E526" s="285">
        <f>C526/420</f>
        <v>0.73333333333333328</v>
      </c>
    </row>
    <row r="527" spans="1:5" ht="19.5" customHeight="1">
      <c r="A527" s="168" t="s">
        <v>470</v>
      </c>
      <c r="B527" s="169"/>
      <c r="C527" s="278">
        <v>224</v>
      </c>
      <c r="D527" s="184"/>
      <c r="E527" s="285">
        <f>C527/384</f>
        <v>0.58333333333333337</v>
      </c>
    </row>
    <row r="528" spans="1:5" ht="19.5" customHeight="1">
      <c r="A528" s="170" t="s">
        <v>471</v>
      </c>
      <c r="B528" s="169"/>
      <c r="C528" s="278"/>
      <c r="D528" s="184"/>
      <c r="E528" s="285"/>
    </row>
    <row r="529" spans="1:5" ht="19.5" customHeight="1">
      <c r="A529" s="170" t="s">
        <v>472</v>
      </c>
      <c r="B529" s="169"/>
      <c r="C529" s="278"/>
      <c r="D529" s="184"/>
      <c r="E529" s="285"/>
    </row>
    <row r="530" spans="1:5" ht="19.5" customHeight="1">
      <c r="A530" s="170" t="s">
        <v>473</v>
      </c>
      <c r="B530" s="169"/>
      <c r="C530" s="278">
        <v>20</v>
      </c>
      <c r="D530" s="184"/>
      <c r="E530" s="285"/>
    </row>
    <row r="531" spans="1:5" ht="19.5" customHeight="1">
      <c r="A531" s="170" t="s">
        <v>474</v>
      </c>
      <c r="B531" s="169"/>
      <c r="C531" s="278"/>
      <c r="D531" s="184"/>
      <c r="E531" s="285"/>
    </row>
    <row r="532" spans="1:5" ht="19.5" customHeight="1">
      <c r="A532" s="170" t="s">
        <v>475</v>
      </c>
      <c r="B532" s="169"/>
      <c r="C532" s="278"/>
      <c r="D532" s="184"/>
      <c r="E532" s="285"/>
    </row>
    <row r="533" spans="1:5" ht="19.5" customHeight="1">
      <c r="A533" s="170" t="s">
        <v>476</v>
      </c>
      <c r="B533" s="169"/>
      <c r="C533" s="278">
        <v>64</v>
      </c>
      <c r="D533" s="184"/>
      <c r="E533" s="285">
        <f>C533/36</f>
        <v>1.7777777777777777</v>
      </c>
    </row>
    <row r="534" spans="1:5" ht="19.5" customHeight="1">
      <c r="A534" s="166" t="s">
        <v>477</v>
      </c>
      <c r="B534" s="167">
        <v>22</v>
      </c>
      <c r="C534" s="278">
        <v>22</v>
      </c>
      <c r="D534" s="184">
        <f t="shared" si="9"/>
        <v>1</v>
      </c>
      <c r="E534" s="285">
        <f>C534/34</f>
        <v>0.6470588235294118</v>
      </c>
    </row>
    <row r="535" spans="1:5" ht="19.5" customHeight="1">
      <c r="A535" s="166" t="s">
        <v>478</v>
      </c>
      <c r="B535" s="167">
        <v>601</v>
      </c>
      <c r="C535" s="278">
        <f>SUM(C536:C541)</f>
        <v>601</v>
      </c>
      <c r="D535" s="184">
        <f t="shared" si="9"/>
        <v>1</v>
      </c>
      <c r="E535" s="285">
        <f>C535/290</f>
        <v>2.0724137931034483</v>
      </c>
    </row>
    <row r="536" spans="1:5" ht="19.5" customHeight="1">
      <c r="A536" s="168" t="s">
        <v>479</v>
      </c>
      <c r="B536" s="169"/>
      <c r="C536" s="278">
        <v>21</v>
      </c>
      <c r="D536" s="184"/>
      <c r="E536" s="285">
        <f>C536/45</f>
        <v>0.46666666666666667</v>
      </c>
    </row>
    <row r="537" spans="1:5" ht="19.5" customHeight="1">
      <c r="A537" s="170" t="s">
        <v>480</v>
      </c>
      <c r="B537" s="169"/>
      <c r="C537" s="278"/>
      <c r="D537" s="184"/>
      <c r="E537" s="285">
        <f>C537/245</f>
        <v>0</v>
      </c>
    </row>
    <row r="538" spans="1:5" ht="19.5" customHeight="1">
      <c r="A538" s="170" t="s">
        <v>481</v>
      </c>
      <c r="B538" s="169"/>
      <c r="C538" s="278"/>
      <c r="D538" s="184"/>
      <c r="E538" s="285"/>
    </row>
    <row r="539" spans="1:5" ht="19.5" customHeight="1">
      <c r="A539" s="170" t="s">
        <v>482</v>
      </c>
      <c r="B539" s="169"/>
      <c r="C539" s="278">
        <v>580</v>
      </c>
      <c r="D539" s="184"/>
      <c r="E539" s="285"/>
    </row>
    <row r="540" spans="1:5" ht="19.5" customHeight="1">
      <c r="A540" s="170" t="s">
        <v>483</v>
      </c>
      <c r="B540" s="169"/>
      <c r="C540" s="278"/>
      <c r="D540" s="184"/>
      <c r="E540" s="285"/>
    </row>
    <row r="541" spans="1:5" ht="19.5" customHeight="1">
      <c r="A541" s="170" t="s">
        <v>484</v>
      </c>
      <c r="B541" s="169"/>
      <c r="C541" s="278"/>
      <c r="D541" s="184"/>
      <c r="E541" s="285"/>
    </row>
    <row r="542" spans="1:5" ht="19.5" customHeight="1">
      <c r="A542" s="166" t="s">
        <v>485</v>
      </c>
      <c r="B542" s="167">
        <v>258</v>
      </c>
      <c r="C542" s="278">
        <f>SUM(C543:C549)</f>
        <v>258</v>
      </c>
      <c r="D542" s="184">
        <f t="shared" si="9"/>
        <v>1</v>
      </c>
      <c r="E542" s="285">
        <f>C542/319</f>
        <v>0.80877742946708464</v>
      </c>
    </row>
    <row r="543" spans="1:5" ht="19.5" customHeight="1">
      <c r="A543" s="168" t="s">
        <v>186</v>
      </c>
      <c r="B543" s="169"/>
      <c r="C543" s="278">
        <v>191</v>
      </c>
      <c r="D543" s="184"/>
      <c r="E543" s="285">
        <f>C543/109</f>
        <v>1.7522935779816513</v>
      </c>
    </row>
    <row r="544" spans="1:5" ht="19.5" customHeight="1">
      <c r="A544" s="170" t="s">
        <v>176</v>
      </c>
      <c r="B544" s="169"/>
      <c r="C544" s="278"/>
      <c r="D544" s="184"/>
      <c r="E544" s="285"/>
    </row>
    <row r="545" spans="1:5" ht="19.5" customHeight="1">
      <c r="A545" s="170" t="s">
        <v>177</v>
      </c>
      <c r="B545" s="169"/>
      <c r="C545" s="278"/>
      <c r="D545" s="184"/>
      <c r="E545" s="285"/>
    </row>
    <row r="546" spans="1:5" ht="19.5" customHeight="1">
      <c r="A546" s="170" t="s">
        <v>486</v>
      </c>
      <c r="B546" s="169"/>
      <c r="C546" s="278"/>
      <c r="D546" s="184"/>
      <c r="E546" s="285"/>
    </row>
    <row r="547" spans="1:5" ht="19.5" customHeight="1">
      <c r="A547" s="170" t="s">
        <v>487</v>
      </c>
      <c r="B547" s="169"/>
      <c r="C547" s="278">
        <v>1</v>
      </c>
      <c r="D547" s="184"/>
      <c r="E547" s="285"/>
    </row>
    <row r="548" spans="1:5" ht="19.5" customHeight="1">
      <c r="A548" s="170" t="s">
        <v>488</v>
      </c>
      <c r="B548" s="169"/>
      <c r="C548" s="278"/>
      <c r="D548" s="184"/>
      <c r="E548" s="285"/>
    </row>
    <row r="549" spans="1:5" ht="19.5" customHeight="1">
      <c r="A549" s="170" t="s">
        <v>489</v>
      </c>
      <c r="B549" s="169"/>
      <c r="C549" s="278">
        <v>66</v>
      </c>
      <c r="D549" s="184"/>
      <c r="E549" s="285">
        <f>C549/210</f>
        <v>0.31428571428571428</v>
      </c>
    </row>
    <row r="550" spans="1:5" ht="19.5" customHeight="1">
      <c r="A550" s="166" t="s">
        <v>490</v>
      </c>
      <c r="B550" s="167"/>
      <c r="C550" s="278">
        <f>SUM(C551:C554)</f>
        <v>0</v>
      </c>
      <c r="D550" s="184"/>
      <c r="E550" s="285"/>
    </row>
    <row r="551" spans="1:5" ht="19.5" customHeight="1">
      <c r="A551" s="168" t="s">
        <v>491</v>
      </c>
      <c r="B551" s="169"/>
      <c r="C551" s="278"/>
      <c r="D551" s="184"/>
      <c r="E551" s="285"/>
    </row>
    <row r="552" spans="1:5" ht="19.5" customHeight="1">
      <c r="A552" s="170" t="s">
        <v>492</v>
      </c>
      <c r="B552" s="169"/>
      <c r="C552" s="278"/>
      <c r="D552" s="184"/>
      <c r="E552" s="285"/>
    </row>
    <row r="553" spans="1:5" ht="19.5" customHeight="1">
      <c r="A553" s="170" t="s">
        <v>493</v>
      </c>
      <c r="B553" s="169"/>
      <c r="C553" s="278"/>
      <c r="D553" s="184"/>
      <c r="E553" s="285"/>
    </row>
    <row r="554" spans="1:5" ht="19.5" customHeight="1">
      <c r="A554" s="170" t="s">
        <v>494</v>
      </c>
      <c r="B554" s="169"/>
      <c r="C554" s="278"/>
      <c r="D554" s="184"/>
      <c r="E554" s="285"/>
    </row>
    <row r="555" spans="1:5" ht="19.5" customHeight="1">
      <c r="A555" s="166" t="s">
        <v>495</v>
      </c>
      <c r="B555" s="167"/>
      <c r="C555" s="278"/>
      <c r="D555" s="184"/>
      <c r="E555" s="285"/>
    </row>
    <row r="556" spans="1:5" ht="19.5" customHeight="1">
      <c r="A556" s="168" t="s">
        <v>186</v>
      </c>
      <c r="B556" s="169"/>
      <c r="C556" s="278"/>
      <c r="D556" s="184"/>
      <c r="E556" s="285"/>
    </row>
    <row r="557" spans="1:5" ht="19.5" customHeight="1">
      <c r="A557" s="170" t="s">
        <v>176</v>
      </c>
      <c r="B557" s="169"/>
      <c r="C557" s="278"/>
      <c r="D557" s="184"/>
      <c r="E557" s="285"/>
    </row>
    <row r="558" spans="1:5" ht="19.5" customHeight="1">
      <c r="A558" s="170" t="s">
        <v>177</v>
      </c>
      <c r="B558" s="169"/>
      <c r="C558" s="278"/>
      <c r="D558" s="184"/>
      <c r="E558" s="285"/>
    </row>
    <row r="559" spans="1:5" ht="19.5" customHeight="1">
      <c r="A559" s="170" t="s">
        <v>496</v>
      </c>
      <c r="B559" s="169"/>
      <c r="C559" s="278"/>
      <c r="D559" s="184"/>
      <c r="E559" s="285"/>
    </row>
    <row r="560" spans="1:5" ht="19.5" customHeight="1">
      <c r="A560" s="166" t="s">
        <v>497</v>
      </c>
      <c r="B560" s="167">
        <v>1740</v>
      </c>
      <c r="C560" s="278">
        <f>SUM(C561:C562)</f>
        <v>1739</v>
      </c>
      <c r="D560" s="184">
        <f t="shared" si="9"/>
        <v>0.99942528735632186</v>
      </c>
      <c r="E560" s="285">
        <f>C560/2101</f>
        <v>0.82770109471680153</v>
      </c>
    </row>
    <row r="561" spans="1:6" ht="19.5" customHeight="1">
      <c r="A561" s="166" t="s">
        <v>498</v>
      </c>
      <c r="B561" s="169"/>
      <c r="C561" s="278">
        <v>453</v>
      </c>
      <c r="D561" s="184"/>
      <c r="E561" s="285">
        <f>C561/436</f>
        <v>1.0389908256880733</v>
      </c>
    </row>
    <row r="562" spans="1:6" ht="19.5" customHeight="1">
      <c r="A562" s="166" t="s">
        <v>499</v>
      </c>
      <c r="B562" s="169"/>
      <c r="C562" s="278">
        <v>1286</v>
      </c>
      <c r="D562" s="184"/>
      <c r="E562" s="285">
        <f>C562/1665</f>
        <v>0.77237237237237233</v>
      </c>
    </row>
    <row r="563" spans="1:6" ht="19.5" customHeight="1">
      <c r="A563" s="166" t="s">
        <v>500</v>
      </c>
      <c r="B563" s="169">
        <v>1348</v>
      </c>
      <c r="C563" s="278">
        <f>SUM(C564:C565)</f>
        <v>1348</v>
      </c>
      <c r="D563" s="184">
        <f t="shared" si="9"/>
        <v>1</v>
      </c>
      <c r="E563" s="285">
        <f>C563/378</f>
        <v>3.5661375661375661</v>
      </c>
    </row>
    <row r="564" spans="1:6" ht="19.5" customHeight="1">
      <c r="A564" s="166" t="s">
        <v>501</v>
      </c>
      <c r="B564" s="169"/>
      <c r="C564" s="278">
        <v>1348</v>
      </c>
      <c r="D564" s="184"/>
      <c r="E564" s="285">
        <f>C564/363</f>
        <v>3.7134986225895319</v>
      </c>
    </row>
    <row r="565" spans="1:6" ht="19.5" customHeight="1">
      <c r="A565" s="166" t="s">
        <v>502</v>
      </c>
      <c r="B565" s="169"/>
      <c r="C565" s="278"/>
      <c r="D565" s="184"/>
      <c r="E565" s="285">
        <f>C565/15</f>
        <v>0</v>
      </c>
    </row>
    <row r="566" spans="1:6" ht="19.5" customHeight="1">
      <c r="A566" s="166" t="s">
        <v>503</v>
      </c>
      <c r="B566" s="169">
        <v>130</v>
      </c>
      <c r="C566" s="278">
        <f>SUM(C567:C568)</f>
        <v>130</v>
      </c>
      <c r="D566" s="184">
        <f t="shared" si="9"/>
        <v>1</v>
      </c>
      <c r="E566" s="285">
        <f>C566/157</f>
        <v>0.82802547770700641</v>
      </c>
    </row>
    <row r="567" spans="1:6" ht="19.5" customHeight="1">
      <c r="A567" s="166" t="s">
        <v>504</v>
      </c>
      <c r="B567" s="169"/>
      <c r="C567" s="278">
        <v>3</v>
      </c>
      <c r="D567" s="184"/>
      <c r="E567" s="285"/>
    </row>
    <row r="568" spans="1:6" ht="19.5" customHeight="1">
      <c r="A568" s="166" t="s">
        <v>505</v>
      </c>
      <c r="B568" s="169"/>
      <c r="C568" s="278">
        <v>127</v>
      </c>
      <c r="D568" s="184"/>
      <c r="E568" s="285">
        <f>C568/157</f>
        <v>0.80891719745222934</v>
      </c>
    </row>
    <row r="569" spans="1:6" ht="19.5" customHeight="1">
      <c r="A569" s="166" t="s">
        <v>506</v>
      </c>
      <c r="B569" s="169"/>
      <c r="C569" s="278"/>
      <c r="D569" s="184"/>
      <c r="E569" s="285"/>
    </row>
    <row r="570" spans="1:6" ht="19.5" customHeight="1">
      <c r="A570" s="166" t="s">
        <v>507</v>
      </c>
      <c r="B570" s="167">
        <v>458</v>
      </c>
      <c r="C570" s="278">
        <f>SUM(C571:C572)</f>
        <v>458</v>
      </c>
      <c r="D570" s="184">
        <f t="shared" si="9"/>
        <v>1</v>
      </c>
      <c r="E570" s="285">
        <f>C570/392</f>
        <v>1.1683673469387754</v>
      </c>
    </row>
    <row r="571" spans="1:6" ht="19.5" customHeight="1">
      <c r="A571" s="166" t="s">
        <v>508</v>
      </c>
      <c r="B571" s="169"/>
      <c r="C571" s="278"/>
      <c r="D571" s="184"/>
      <c r="E571" s="285"/>
    </row>
    <row r="572" spans="1:6" ht="19.5" customHeight="1">
      <c r="A572" s="166" t="s">
        <v>509</v>
      </c>
      <c r="B572" s="169"/>
      <c r="C572" s="278">
        <v>458</v>
      </c>
      <c r="D572" s="184"/>
      <c r="E572" s="285">
        <f>C572/392</f>
        <v>1.1683673469387754</v>
      </c>
    </row>
    <row r="573" spans="1:6" ht="19.5" customHeight="1">
      <c r="A573" s="166" t="s">
        <v>510</v>
      </c>
      <c r="B573" s="167"/>
      <c r="C573" s="278"/>
      <c r="D573" s="184"/>
      <c r="E573" s="285"/>
    </row>
    <row r="574" spans="1:6" ht="19.5" customHeight="1">
      <c r="A574" s="168" t="s">
        <v>511</v>
      </c>
      <c r="B574" s="169"/>
      <c r="C574" s="278"/>
      <c r="D574" s="184"/>
      <c r="E574" s="285"/>
    </row>
    <row r="575" spans="1:6" s="180" customFormat="1" ht="19.5" customHeight="1">
      <c r="A575" s="172" t="s">
        <v>512</v>
      </c>
      <c r="B575" s="177">
        <f>B576+B581+B594+B598+B610+B619+B622+B626+B636</f>
        <v>8824</v>
      </c>
      <c r="C575" s="277">
        <f>C576+C581+C594+C598+C610+C619+C622+C626+C636</f>
        <v>8169</v>
      </c>
      <c r="D575" s="181">
        <f t="shared" si="9"/>
        <v>0.92577062556663647</v>
      </c>
      <c r="E575" s="284">
        <f>C575/9646</f>
        <v>0.84687953555878082</v>
      </c>
      <c r="F575" s="178"/>
    </row>
    <row r="576" spans="1:6" ht="19.5" customHeight="1">
      <c r="A576" s="166" t="s">
        <v>513</v>
      </c>
      <c r="B576" s="167">
        <v>451</v>
      </c>
      <c r="C576" s="278">
        <f>SUM(C577:C580)</f>
        <v>451</v>
      </c>
      <c r="D576" s="184">
        <f t="shared" si="9"/>
        <v>1</v>
      </c>
      <c r="E576" s="285">
        <f>C576/490</f>
        <v>0.92040816326530617</v>
      </c>
    </row>
    <row r="577" spans="1:5" ht="19.5" customHeight="1">
      <c r="A577" s="168" t="s">
        <v>186</v>
      </c>
      <c r="B577" s="169"/>
      <c r="C577" s="278">
        <v>451</v>
      </c>
      <c r="D577" s="184"/>
      <c r="E577" s="285">
        <f>C577/490</f>
        <v>0.92040816326530617</v>
      </c>
    </row>
    <row r="578" spans="1:5" ht="19.5" customHeight="1">
      <c r="A578" s="170" t="s">
        <v>176</v>
      </c>
      <c r="B578" s="169"/>
      <c r="C578" s="278"/>
      <c r="D578" s="184"/>
      <c r="E578" s="285"/>
    </row>
    <row r="579" spans="1:5" ht="19.5" customHeight="1">
      <c r="A579" s="170" t="s">
        <v>177</v>
      </c>
      <c r="B579" s="169"/>
      <c r="C579" s="278"/>
      <c r="D579" s="184"/>
      <c r="E579" s="285"/>
    </row>
    <row r="580" spans="1:5" ht="19.5" customHeight="1">
      <c r="A580" s="170" t="s">
        <v>514</v>
      </c>
      <c r="B580" s="169"/>
      <c r="C580" s="278"/>
      <c r="D580" s="184"/>
      <c r="E580" s="285"/>
    </row>
    <row r="581" spans="1:5" ht="19.5" customHeight="1">
      <c r="A581" s="166" t="s">
        <v>515</v>
      </c>
      <c r="B581" s="167">
        <v>3636</v>
      </c>
      <c r="C581" s="278">
        <f>SUM(C582:C593)</f>
        <v>3636</v>
      </c>
      <c r="D581" s="184">
        <f t="shared" si="9"/>
        <v>1</v>
      </c>
      <c r="E581" s="285">
        <f>C581/1978</f>
        <v>1.8382204246713851</v>
      </c>
    </row>
    <row r="582" spans="1:5" ht="19.5" customHeight="1">
      <c r="A582" s="168" t="s">
        <v>516</v>
      </c>
      <c r="B582" s="169"/>
      <c r="C582" s="278">
        <v>1044</v>
      </c>
      <c r="D582" s="184"/>
      <c r="E582" s="285">
        <f>C582/887</f>
        <v>1.1770011273957159</v>
      </c>
    </row>
    <row r="583" spans="1:5" ht="19.5" customHeight="1">
      <c r="A583" s="170" t="s">
        <v>517</v>
      </c>
      <c r="B583" s="169"/>
      <c r="C583" s="278">
        <v>875</v>
      </c>
      <c r="D583" s="184"/>
      <c r="E583" s="285">
        <f>C583/712</f>
        <v>1.228932584269663</v>
      </c>
    </row>
    <row r="584" spans="1:5" ht="19.5" customHeight="1">
      <c r="A584" s="170" t="s">
        <v>518</v>
      </c>
      <c r="B584" s="169"/>
      <c r="C584" s="278"/>
      <c r="D584" s="184"/>
      <c r="E584" s="285"/>
    </row>
    <row r="585" spans="1:5" ht="19.5" customHeight="1">
      <c r="A585" s="170" t="s">
        <v>519</v>
      </c>
      <c r="B585" s="169"/>
      <c r="C585" s="278"/>
      <c r="D585" s="184"/>
      <c r="E585" s="285"/>
    </row>
    <row r="586" spans="1:5" ht="19.5" customHeight="1">
      <c r="A586" s="170" t="s">
        <v>520</v>
      </c>
      <c r="B586" s="169"/>
      <c r="C586" s="278"/>
      <c r="D586" s="184"/>
      <c r="E586" s="285"/>
    </row>
    <row r="587" spans="1:5" ht="19.5" customHeight="1">
      <c r="A587" s="170" t="s">
        <v>521</v>
      </c>
      <c r="B587" s="169"/>
      <c r="C587" s="278">
        <v>840</v>
      </c>
      <c r="D587" s="184"/>
      <c r="E587" s="285"/>
    </row>
    <row r="588" spans="1:5" ht="19.5" customHeight="1">
      <c r="A588" s="170" t="s">
        <v>522</v>
      </c>
      <c r="B588" s="169"/>
      <c r="C588" s="278"/>
      <c r="D588" s="184"/>
      <c r="E588" s="285"/>
    </row>
    <row r="589" spans="1:5" ht="19.5" customHeight="1">
      <c r="A589" s="170" t="s">
        <v>523</v>
      </c>
      <c r="B589" s="169"/>
      <c r="C589" s="278"/>
      <c r="D589" s="184"/>
      <c r="E589" s="285"/>
    </row>
    <row r="590" spans="1:5" ht="19.5" customHeight="1">
      <c r="A590" s="170" t="s">
        <v>524</v>
      </c>
      <c r="B590" s="169"/>
      <c r="C590" s="278"/>
      <c r="D590" s="184"/>
      <c r="E590" s="285"/>
    </row>
    <row r="591" spans="1:5" ht="19.5" customHeight="1">
      <c r="A591" s="170" t="s">
        <v>525</v>
      </c>
      <c r="B591" s="169"/>
      <c r="C591" s="278"/>
      <c r="D591" s="184"/>
      <c r="E591" s="285"/>
    </row>
    <row r="592" spans="1:5" ht="19.5" customHeight="1">
      <c r="A592" s="170" t="s">
        <v>526</v>
      </c>
      <c r="B592" s="169"/>
      <c r="C592" s="278"/>
      <c r="D592" s="184"/>
      <c r="E592" s="285"/>
    </row>
    <row r="593" spans="1:5" ht="19.5" customHeight="1">
      <c r="A593" s="170" t="s">
        <v>527</v>
      </c>
      <c r="B593" s="169"/>
      <c r="C593" s="278">
        <v>877</v>
      </c>
      <c r="D593" s="184"/>
      <c r="E593" s="285">
        <f>C593/379</f>
        <v>2.3139841688654355</v>
      </c>
    </row>
    <row r="594" spans="1:5" ht="19.5" customHeight="1">
      <c r="A594" s="166" t="s">
        <v>528</v>
      </c>
      <c r="B594" s="169">
        <v>1809</v>
      </c>
      <c r="C594" s="278">
        <f>SUM(C595:C597)</f>
        <v>1809</v>
      </c>
      <c r="D594" s="184">
        <f t="shared" ref="D594:D639" si="10">C594/B594</f>
        <v>1</v>
      </c>
      <c r="E594" s="285">
        <f>C594/1346</f>
        <v>1.3439821693907876</v>
      </c>
    </row>
    <row r="595" spans="1:5" ht="19.5" customHeight="1">
      <c r="A595" s="168" t="s">
        <v>529</v>
      </c>
      <c r="B595" s="169"/>
      <c r="C595" s="278"/>
      <c r="D595" s="184"/>
      <c r="E595" s="285"/>
    </row>
    <row r="596" spans="1:5" ht="19.5" customHeight="1">
      <c r="A596" s="170" t="s">
        <v>530</v>
      </c>
      <c r="B596" s="169"/>
      <c r="C596" s="278">
        <v>1355</v>
      </c>
      <c r="D596" s="184"/>
      <c r="E596" s="285">
        <f>C596/1172</f>
        <v>1.1561433447098977</v>
      </c>
    </row>
    <row r="597" spans="1:5" ht="19.5" customHeight="1">
      <c r="A597" s="170" t="s">
        <v>531</v>
      </c>
      <c r="B597" s="169"/>
      <c r="C597" s="278">
        <v>454</v>
      </c>
      <c r="D597" s="184"/>
      <c r="E597" s="285">
        <f>C597/174</f>
        <v>2.6091954022988504</v>
      </c>
    </row>
    <row r="598" spans="1:5" ht="19.5" customHeight="1">
      <c r="A598" s="166" t="s">
        <v>532</v>
      </c>
      <c r="B598" s="167">
        <v>1055</v>
      </c>
      <c r="C598" s="278">
        <f>SUM(C599:C609)</f>
        <v>1055</v>
      </c>
      <c r="D598" s="184">
        <f t="shared" si="10"/>
        <v>1</v>
      </c>
      <c r="E598" s="285">
        <f>C598/812</f>
        <v>1.2992610837438423</v>
      </c>
    </row>
    <row r="599" spans="1:5" ht="19.5" customHeight="1">
      <c r="A599" s="168" t="s">
        <v>533</v>
      </c>
      <c r="B599" s="169"/>
      <c r="C599" s="278">
        <v>283</v>
      </c>
      <c r="D599" s="184"/>
      <c r="E599" s="285">
        <f>C599/229</f>
        <v>1.2358078602620088</v>
      </c>
    </row>
    <row r="600" spans="1:5" ht="19.5" customHeight="1">
      <c r="A600" s="170" t="s">
        <v>534</v>
      </c>
      <c r="B600" s="169"/>
      <c r="C600" s="278"/>
      <c r="D600" s="184"/>
      <c r="E600" s="285"/>
    </row>
    <row r="601" spans="1:5" ht="19.5" customHeight="1">
      <c r="A601" s="170" t="s">
        <v>535</v>
      </c>
      <c r="B601" s="169"/>
      <c r="C601" s="278">
        <v>325</v>
      </c>
      <c r="D601" s="184"/>
      <c r="E601" s="285">
        <f>C601/194</f>
        <v>1.6752577319587629</v>
      </c>
    </row>
    <row r="602" spans="1:5" ht="19.5" customHeight="1">
      <c r="A602" s="170" t="s">
        <v>536</v>
      </c>
      <c r="B602" s="169"/>
      <c r="C602" s="278"/>
      <c r="D602" s="184"/>
      <c r="E602" s="285"/>
    </row>
    <row r="603" spans="1:5" ht="19.5" customHeight="1">
      <c r="A603" s="170" t="s">
        <v>537</v>
      </c>
      <c r="B603" s="169"/>
      <c r="C603" s="278"/>
      <c r="D603" s="184"/>
      <c r="E603" s="285"/>
    </row>
    <row r="604" spans="1:5" ht="19.5" customHeight="1">
      <c r="A604" s="170" t="s">
        <v>538</v>
      </c>
      <c r="B604" s="169"/>
      <c r="C604" s="278"/>
      <c r="D604" s="184"/>
      <c r="E604" s="285"/>
    </row>
    <row r="605" spans="1:5" ht="19.5" customHeight="1">
      <c r="A605" s="170" t="s">
        <v>539</v>
      </c>
      <c r="B605" s="169"/>
      <c r="C605" s="278"/>
      <c r="D605" s="184"/>
      <c r="E605" s="285"/>
    </row>
    <row r="606" spans="1:5" ht="19.5" customHeight="1">
      <c r="A606" s="170" t="s">
        <v>540</v>
      </c>
      <c r="B606" s="169"/>
      <c r="C606" s="278">
        <v>309</v>
      </c>
      <c r="D606" s="184"/>
      <c r="E606" s="285">
        <f>C606/269</f>
        <v>1.1486988847583643</v>
      </c>
    </row>
    <row r="607" spans="1:5" ht="19.5" customHeight="1">
      <c r="A607" s="170" t="s">
        <v>541</v>
      </c>
      <c r="B607" s="169"/>
      <c r="C607" s="278">
        <v>138</v>
      </c>
      <c r="D607" s="184"/>
      <c r="E607" s="285">
        <f>C607/120</f>
        <v>1.1499999999999999</v>
      </c>
    </row>
    <row r="608" spans="1:5" ht="19.5" customHeight="1">
      <c r="A608" s="170" t="s">
        <v>542</v>
      </c>
      <c r="B608" s="169"/>
      <c r="C608" s="278"/>
      <c r="D608" s="184"/>
      <c r="E608" s="285"/>
    </row>
    <row r="609" spans="1:5" ht="19.5" customHeight="1">
      <c r="A609" s="170" t="s">
        <v>543</v>
      </c>
      <c r="B609" s="169"/>
      <c r="C609" s="278"/>
      <c r="D609" s="184"/>
      <c r="E609" s="285"/>
    </row>
    <row r="610" spans="1:5" ht="19.5" customHeight="1">
      <c r="A610" s="166" t="s">
        <v>544</v>
      </c>
      <c r="B610" s="167">
        <v>1215</v>
      </c>
      <c r="C610" s="278">
        <f>SUM(C611:C618)</f>
        <v>565</v>
      </c>
      <c r="D610" s="184">
        <f t="shared" si="10"/>
        <v>0.46502057613168724</v>
      </c>
      <c r="E610" s="285">
        <f>C610/4249</f>
        <v>0.13297246410920216</v>
      </c>
    </row>
    <row r="611" spans="1:5" ht="19.5" customHeight="1">
      <c r="A611" s="168" t="s">
        <v>545</v>
      </c>
      <c r="B611" s="169"/>
      <c r="C611" s="278"/>
      <c r="D611" s="184"/>
      <c r="E611" s="285"/>
    </row>
    <row r="612" spans="1:5" ht="19.5" customHeight="1">
      <c r="A612" s="170" t="s">
        <v>1048</v>
      </c>
      <c r="B612" s="169"/>
      <c r="C612" s="278">
        <v>8</v>
      </c>
      <c r="D612" s="184"/>
      <c r="E612" s="285">
        <f>C612/9</f>
        <v>0.88888888888888884</v>
      </c>
    </row>
    <row r="613" spans="1:5" ht="19.5" customHeight="1">
      <c r="A613" s="170" t="s">
        <v>546</v>
      </c>
      <c r="B613" s="169"/>
      <c r="C613" s="278">
        <v>250</v>
      </c>
      <c r="D613" s="184"/>
      <c r="E613" s="285">
        <f>C613/450</f>
        <v>0.55555555555555558</v>
      </c>
    </row>
    <row r="614" spans="1:5" ht="19.5" customHeight="1">
      <c r="A614" s="170" t="s">
        <v>547</v>
      </c>
      <c r="B614" s="169"/>
      <c r="C614" s="278">
        <v>12</v>
      </c>
      <c r="D614" s="184"/>
      <c r="E614" s="285">
        <f>C614/16</f>
        <v>0.75</v>
      </c>
    </row>
    <row r="615" spans="1:5" ht="19.5" customHeight="1">
      <c r="A615" s="170" t="s">
        <v>548</v>
      </c>
      <c r="B615" s="169"/>
      <c r="C615" s="278">
        <v>76</v>
      </c>
      <c r="D615" s="184"/>
      <c r="E615" s="285">
        <f>C615/67</f>
        <v>1.1343283582089552</v>
      </c>
    </row>
    <row r="616" spans="1:5" ht="19.5" customHeight="1">
      <c r="A616" s="170" t="s">
        <v>549</v>
      </c>
      <c r="B616" s="169"/>
      <c r="C616" s="278">
        <v>15</v>
      </c>
      <c r="D616" s="184"/>
      <c r="E616" s="285">
        <f>C616/3399</f>
        <v>4.4130626654898496E-3</v>
      </c>
    </row>
    <row r="617" spans="1:5" ht="19.5" customHeight="1">
      <c r="A617" s="170" t="s">
        <v>550</v>
      </c>
      <c r="B617" s="169"/>
      <c r="C617" s="278">
        <v>204</v>
      </c>
      <c r="D617" s="184"/>
      <c r="E617" s="285">
        <f>C617/308</f>
        <v>0.66233766233766234</v>
      </c>
    </row>
    <row r="618" spans="1:5" ht="19.5" customHeight="1">
      <c r="A618" s="170" t="s">
        <v>551</v>
      </c>
      <c r="B618" s="169"/>
      <c r="C618" s="278"/>
      <c r="D618" s="184"/>
      <c r="E618" s="285"/>
    </row>
    <row r="619" spans="1:5" ht="19.5" customHeight="1">
      <c r="A619" s="166" t="s">
        <v>552</v>
      </c>
      <c r="B619" s="167">
        <v>22</v>
      </c>
      <c r="C619" s="278">
        <f>SUM(C620:C621)</f>
        <v>22</v>
      </c>
      <c r="D619" s="184">
        <f t="shared" si="10"/>
        <v>1</v>
      </c>
      <c r="E619" s="285">
        <f>C619/30</f>
        <v>0.73333333333333328</v>
      </c>
    </row>
    <row r="620" spans="1:5" ht="19.5" customHeight="1">
      <c r="A620" s="168" t="s">
        <v>553</v>
      </c>
      <c r="B620" s="169"/>
      <c r="C620" s="278">
        <v>22</v>
      </c>
      <c r="D620" s="184"/>
      <c r="E620" s="285">
        <f>C620/30</f>
        <v>0.73333333333333328</v>
      </c>
    </row>
    <row r="621" spans="1:5" ht="19.5" customHeight="1">
      <c r="A621" s="170" t="s">
        <v>554</v>
      </c>
      <c r="B621" s="169"/>
      <c r="C621" s="278"/>
      <c r="D621" s="184"/>
      <c r="E621" s="285"/>
    </row>
    <row r="622" spans="1:5" ht="19.5" customHeight="1">
      <c r="A622" s="166" t="s">
        <v>555</v>
      </c>
      <c r="B622" s="167">
        <v>311</v>
      </c>
      <c r="C622" s="278">
        <f>SUM(C623:C625)</f>
        <v>306</v>
      </c>
      <c r="D622" s="184">
        <f t="shared" si="10"/>
        <v>0.98392282958199362</v>
      </c>
      <c r="E622" s="285">
        <f>C622/418</f>
        <v>0.73205741626794263</v>
      </c>
    </row>
    <row r="623" spans="1:5" ht="19.5" customHeight="1">
      <c r="A623" s="168" t="s">
        <v>556</v>
      </c>
      <c r="B623" s="169"/>
      <c r="C623" s="278">
        <v>258</v>
      </c>
      <c r="D623" s="184"/>
      <c r="E623" s="285">
        <f>C623/356</f>
        <v>0.7247191011235955</v>
      </c>
    </row>
    <row r="624" spans="1:5" ht="19.5" customHeight="1">
      <c r="A624" s="168" t="s">
        <v>557</v>
      </c>
      <c r="B624" s="169"/>
      <c r="C624" s="278">
        <v>9</v>
      </c>
      <c r="D624" s="184"/>
      <c r="E624" s="285"/>
    </row>
    <row r="625" spans="1:6" ht="19.5" customHeight="1">
      <c r="A625" s="168" t="s">
        <v>558</v>
      </c>
      <c r="B625" s="169"/>
      <c r="C625" s="278">
        <v>39</v>
      </c>
      <c r="D625" s="184"/>
      <c r="E625" s="285">
        <f>C625/62</f>
        <v>0.62903225806451613</v>
      </c>
    </row>
    <row r="626" spans="1:6" ht="19.5" customHeight="1">
      <c r="A626" s="166" t="s">
        <v>559</v>
      </c>
      <c r="B626" s="167">
        <v>311</v>
      </c>
      <c r="C626" s="278">
        <f>SUM(C627:C635)</f>
        <v>311</v>
      </c>
      <c r="D626" s="184">
        <f t="shared" si="10"/>
        <v>1</v>
      </c>
      <c r="E626" s="285">
        <f>C626/323</f>
        <v>0.96284829721362231</v>
      </c>
    </row>
    <row r="627" spans="1:6" ht="19.5" customHeight="1">
      <c r="A627" s="168" t="s">
        <v>186</v>
      </c>
      <c r="B627" s="169"/>
      <c r="C627" s="278">
        <v>291</v>
      </c>
      <c r="D627" s="184"/>
      <c r="E627" s="285">
        <f>C627/253</f>
        <v>1.150197628458498</v>
      </c>
    </row>
    <row r="628" spans="1:6" ht="19.5" customHeight="1">
      <c r="A628" s="170" t="s">
        <v>176</v>
      </c>
      <c r="B628" s="169"/>
      <c r="C628" s="278"/>
      <c r="D628" s="184"/>
      <c r="E628" s="285"/>
    </row>
    <row r="629" spans="1:6" ht="19.5" customHeight="1">
      <c r="A629" s="170" t="s">
        <v>177</v>
      </c>
      <c r="B629" s="169"/>
      <c r="C629" s="278"/>
      <c r="D629" s="184"/>
      <c r="E629" s="285"/>
    </row>
    <row r="630" spans="1:6" ht="19.5" customHeight="1">
      <c r="A630" s="170" t="s">
        <v>560</v>
      </c>
      <c r="B630" s="169"/>
      <c r="C630" s="278"/>
      <c r="D630" s="184"/>
      <c r="E630" s="285"/>
    </row>
    <row r="631" spans="1:6" ht="19.5" customHeight="1">
      <c r="A631" s="170" t="s">
        <v>561</v>
      </c>
      <c r="B631" s="169"/>
      <c r="C631" s="278"/>
      <c r="D631" s="184"/>
      <c r="E631" s="285"/>
    </row>
    <row r="632" spans="1:6" ht="19.5" customHeight="1">
      <c r="A632" s="170" t="s">
        <v>562</v>
      </c>
      <c r="B632" s="169"/>
      <c r="C632" s="278"/>
      <c r="D632" s="184"/>
      <c r="E632" s="285"/>
    </row>
    <row r="633" spans="1:6" ht="19.5" customHeight="1">
      <c r="A633" s="170" t="s">
        <v>563</v>
      </c>
      <c r="B633" s="169"/>
      <c r="C633" s="278"/>
      <c r="D633" s="184"/>
      <c r="E633" s="285"/>
    </row>
    <row r="634" spans="1:6" ht="19.5" customHeight="1">
      <c r="A634" s="170" t="s">
        <v>184</v>
      </c>
      <c r="B634" s="169"/>
      <c r="C634" s="278"/>
      <c r="D634" s="184"/>
      <c r="E634" s="285"/>
    </row>
    <row r="635" spans="1:6" ht="19.5" customHeight="1">
      <c r="A635" s="170" t="s">
        <v>564</v>
      </c>
      <c r="B635" s="169"/>
      <c r="C635" s="278">
        <v>20</v>
      </c>
      <c r="D635" s="184"/>
      <c r="E635" s="285">
        <f>C635/70</f>
        <v>0.2857142857142857</v>
      </c>
    </row>
    <row r="636" spans="1:6" ht="19.5" customHeight="1">
      <c r="A636" s="166" t="s">
        <v>565</v>
      </c>
      <c r="B636" s="167">
        <v>14</v>
      </c>
      <c r="C636" s="278">
        <f>SUM(C637)</f>
        <v>14</v>
      </c>
      <c r="D636" s="184"/>
      <c r="E636" s="285"/>
    </row>
    <row r="637" spans="1:6" ht="19.5" customHeight="1">
      <c r="A637" s="168" t="s">
        <v>566</v>
      </c>
      <c r="B637" s="169"/>
      <c r="C637" s="278">
        <v>14</v>
      </c>
      <c r="D637" s="184"/>
      <c r="E637" s="285"/>
    </row>
    <row r="638" spans="1:6" s="180" customFormat="1" ht="19.5" customHeight="1">
      <c r="A638" s="172" t="s">
        <v>567</v>
      </c>
      <c r="B638" s="177">
        <f>B639+B648+B652+B661+B667+B673+B679+B680+B683+B685+B691+B693+B695+B696+B702</f>
        <v>13158</v>
      </c>
      <c r="C638" s="277">
        <f>C639+C648+C652+C661+C667+C673+C679+C680+C683+C685+C691+C693+C695+C696+C702</f>
        <v>13158</v>
      </c>
      <c r="D638" s="181">
        <f t="shared" si="10"/>
        <v>1</v>
      </c>
      <c r="E638" s="284">
        <f>C638/7939</f>
        <v>1.6573875802997859</v>
      </c>
      <c r="F638" s="178"/>
    </row>
    <row r="639" spans="1:6" ht="19.5" customHeight="1">
      <c r="A639" s="166" t="s">
        <v>568</v>
      </c>
      <c r="B639" s="167">
        <v>792</v>
      </c>
      <c r="C639" s="278">
        <f>SUM(C640:C647)</f>
        <v>792</v>
      </c>
      <c r="D639" s="184">
        <f t="shared" si="10"/>
        <v>1</v>
      </c>
      <c r="E639" s="285">
        <f>C639/385</f>
        <v>2.0571428571428569</v>
      </c>
    </row>
    <row r="640" spans="1:6" ht="19.5" customHeight="1">
      <c r="A640" s="168" t="s">
        <v>186</v>
      </c>
      <c r="B640" s="169"/>
      <c r="C640" s="278">
        <v>250</v>
      </c>
      <c r="D640" s="184"/>
      <c r="E640" s="285">
        <f>C640/382</f>
        <v>0.65445026178010468</v>
      </c>
    </row>
    <row r="641" spans="1:5" ht="19.5" customHeight="1">
      <c r="A641" s="170" t="s">
        <v>176</v>
      </c>
      <c r="B641" s="169"/>
      <c r="C641" s="278"/>
      <c r="D641" s="184"/>
      <c r="E641" s="285"/>
    </row>
    <row r="642" spans="1:5" ht="19.5" customHeight="1">
      <c r="A642" s="170" t="s">
        <v>177</v>
      </c>
      <c r="B642" s="169"/>
      <c r="C642" s="278"/>
      <c r="D642" s="184"/>
      <c r="E642" s="285"/>
    </row>
    <row r="643" spans="1:5" ht="19.5" customHeight="1">
      <c r="A643" s="170" t="s">
        <v>569</v>
      </c>
      <c r="B643" s="169"/>
      <c r="C643" s="278"/>
      <c r="D643" s="184"/>
      <c r="E643" s="285"/>
    </row>
    <row r="644" spans="1:5" ht="19.5" customHeight="1">
      <c r="A644" s="170" t="s">
        <v>570</v>
      </c>
      <c r="B644" s="169"/>
      <c r="C644" s="278"/>
      <c r="D644" s="184"/>
      <c r="E644" s="285"/>
    </row>
    <row r="645" spans="1:5" ht="19.5" customHeight="1">
      <c r="A645" s="170" t="s">
        <v>571</v>
      </c>
      <c r="B645" s="169"/>
      <c r="C645" s="278"/>
      <c r="D645" s="184"/>
      <c r="E645" s="285"/>
    </row>
    <row r="646" spans="1:5" ht="19.5" customHeight="1">
      <c r="A646" s="170" t="s">
        <v>572</v>
      </c>
      <c r="B646" s="169"/>
      <c r="C646" s="278"/>
      <c r="D646" s="184"/>
      <c r="E646" s="285"/>
    </row>
    <row r="647" spans="1:5" ht="19.5" customHeight="1">
      <c r="A647" s="170" t="s">
        <v>573</v>
      </c>
      <c r="B647" s="169"/>
      <c r="C647" s="278">
        <v>542</v>
      </c>
      <c r="D647" s="184"/>
      <c r="E647" s="285"/>
    </row>
    <row r="648" spans="1:5" ht="19.5" customHeight="1">
      <c r="A648" s="166" t="s">
        <v>574</v>
      </c>
      <c r="B648" s="167">
        <v>72</v>
      </c>
      <c r="C648" s="278">
        <f>SUM(C649:C651)</f>
        <v>72</v>
      </c>
      <c r="D648" s="184">
        <f t="shared" ref="D648:D651" si="11">C648/B648</f>
        <v>1</v>
      </c>
      <c r="E648" s="285"/>
    </row>
    <row r="649" spans="1:5" ht="19.5" customHeight="1">
      <c r="A649" s="168" t="s">
        <v>575</v>
      </c>
      <c r="B649" s="169"/>
      <c r="C649" s="278"/>
      <c r="D649" s="184"/>
      <c r="E649" s="285"/>
    </row>
    <row r="650" spans="1:5" ht="19.5" customHeight="1">
      <c r="A650" s="170" t="s">
        <v>576</v>
      </c>
      <c r="B650" s="169"/>
      <c r="C650" s="278"/>
      <c r="D650" s="184"/>
      <c r="E650" s="285"/>
    </row>
    <row r="651" spans="1:5" ht="19.5" customHeight="1">
      <c r="A651" s="170" t="s">
        <v>577</v>
      </c>
      <c r="B651" s="169"/>
      <c r="C651" s="278">
        <v>72</v>
      </c>
      <c r="D651" s="184"/>
      <c r="E651" s="285"/>
    </row>
    <row r="652" spans="1:5" ht="19.5" customHeight="1">
      <c r="A652" s="166" t="s">
        <v>578</v>
      </c>
      <c r="B652" s="165">
        <v>6461</v>
      </c>
      <c r="C652" s="278">
        <f>SUM(C653:C660)</f>
        <v>6461</v>
      </c>
      <c r="D652" s="184">
        <f t="shared" ref="D652:D705" si="12">C652/B652</f>
        <v>1</v>
      </c>
      <c r="E652" s="285">
        <f>C652/4650</f>
        <v>1.3894623655913978</v>
      </c>
    </row>
    <row r="653" spans="1:5" ht="19.5" customHeight="1">
      <c r="A653" s="168" t="s">
        <v>579</v>
      </c>
      <c r="B653" s="169"/>
      <c r="C653" s="278"/>
      <c r="D653" s="184"/>
      <c r="E653" s="285"/>
    </row>
    <row r="654" spans="1:5" ht="19.5" customHeight="1">
      <c r="A654" s="170" t="s">
        <v>580</v>
      </c>
      <c r="B654" s="169"/>
      <c r="C654" s="278">
        <v>3381</v>
      </c>
      <c r="D654" s="184"/>
      <c r="E654" s="285">
        <f>C654/2990</f>
        <v>1.1307692307692307</v>
      </c>
    </row>
    <row r="655" spans="1:5" ht="19.5" customHeight="1">
      <c r="A655" s="170" t="s">
        <v>581</v>
      </c>
      <c r="B655" s="169"/>
      <c r="C655" s="278"/>
      <c r="D655" s="184"/>
      <c r="E655" s="285"/>
    </row>
    <row r="656" spans="1:5" ht="19.5" customHeight="1">
      <c r="A656" s="170" t="s">
        <v>582</v>
      </c>
      <c r="B656" s="169"/>
      <c r="C656" s="278">
        <v>3000</v>
      </c>
      <c r="D656" s="184"/>
      <c r="E656" s="285">
        <f>C656/1660</f>
        <v>1.8072289156626506</v>
      </c>
    </row>
    <row r="657" spans="1:5" ht="19.5" customHeight="1">
      <c r="A657" s="170" t="s">
        <v>583</v>
      </c>
      <c r="B657" s="169"/>
      <c r="C657" s="278"/>
      <c r="D657" s="184"/>
      <c r="E657" s="285"/>
    </row>
    <row r="658" spans="1:5" ht="19.5" customHeight="1">
      <c r="A658" s="170" t="s">
        <v>584</v>
      </c>
      <c r="B658" s="169"/>
      <c r="C658" s="278"/>
      <c r="D658" s="184"/>
      <c r="E658" s="285"/>
    </row>
    <row r="659" spans="1:5" ht="19.5" customHeight="1">
      <c r="A659" s="170" t="s">
        <v>585</v>
      </c>
      <c r="B659" s="167">
        <v>132</v>
      </c>
      <c r="C659" s="278"/>
      <c r="D659" s="184"/>
      <c r="E659" s="285"/>
    </row>
    <row r="660" spans="1:5" ht="19.5" customHeight="1">
      <c r="A660" s="170" t="s">
        <v>586</v>
      </c>
      <c r="B660" s="169"/>
      <c r="C660" s="278">
        <v>80</v>
      </c>
      <c r="D660" s="184"/>
      <c r="E660" s="285"/>
    </row>
    <row r="661" spans="1:5" ht="19.5" customHeight="1">
      <c r="A661" s="166" t="s">
        <v>587</v>
      </c>
      <c r="B661" s="167">
        <v>2365</v>
      </c>
      <c r="C661" s="278">
        <f>SUM(C662:C666)</f>
        <v>2365</v>
      </c>
      <c r="D661" s="184">
        <f t="shared" si="12"/>
        <v>1</v>
      </c>
      <c r="E661" s="285"/>
    </row>
    <row r="662" spans="1:5" ht="19.5" customHeight="1">
      <c r="A662" s="168" t="s">
        <v>588</v>
      </c>
      <c r="B662" s="169"/>
      <c r="C662" s="278"/>
      <c r="D662" s="184"/>
      <c r="E662" s="285"/>
    </row>
    <row r="663" spans="1:5" ht="19.5" customHeight="1">
      <c r="A663" s="170" t="s">
        <v>589</v>
      </c>
      <c r="B663" s="169"/>
      <c r="C663" s="278">
        <v>2365</v>
      </c>
      <c r="D663" s="184"/>
      <c r="E663" s="285"/>
    </row>
    <row r="664" spans="1:5" ht="19.5" customHeight="1">
      <c r="A664" s="170" t="s">
        <v>590</v>
      </c>
      <c r="B664" s="169"/>
      <c r="C664" s="278"/>
      <c r="D664" s="184"/>
      <c r="E664" s="285"/>
    </row>
    <row r="665" spans="1:5" ht="19.5" customHeight="1">
      <c r="A665" s="170" t="s">
        <v>591</v>
      </c>
      <c r="B665" s="169"/>
      <c r="C665" s="278"/>
      <c r="D665" s="184"/>
      <c r="E665" s="285"/>
    </row>
    <row r="666" spans="1:5" ht="19.5" customHeight="1">
      <c r="A666" s="170" t="s">
        <v>592</v>
      </c>
      <c r="B666" s="169"/>
      <c r="C666" s="278"/>
      <c r="D666" s="184"/>
      <c r="E666" s="285"/>
    </row>
    <row r="667" spans="1:5" ht="19.5" customHeight="1">
      <c r="A667" s="166" t="s">
        <v>593</v>
      </c>
      <c r="B667" s="167">
        <v>1308</v>
      </c>
      <c r="C667" s="278">
        <f>SUM(C668:C672)</f>
        <v>1308</v>
      </c>
      <c r="D667" s="184">
        <f t="shared" si="12"/>
        <v>1</v>
      </c>
      <c r="E667" s="285">
        <f>C667/371</f>
        <v>3.5256064690026956</v>
      </c>
    </row>
    <row r="668" spans="1:5" ht="19.5" customHeight="1">
      <c r="A668" s="168" t="s">
        <v>594</v>
      </c>
      <c r="B668" s="169"/>
      <c r="C668" s="278"/>
      <c r="D668" s="184"/>
      <c r="E668" s="285">
        <f>C668/336</f>
        <v>0</v>
      </c>
    </row>
    <row r="669" spans="1:5" ht="19.5" customHeight="1">
      <c r="A669" s="170" t="s">
        <v>595</v>
      </c>
      <c r="B669" s="169"/>
      <c r="C669" s="278">
        <v>23</v>
      </c>
      <c r="D669" s="184"/>
      <c r="E669" s="285">
        <f>C669/29</f>
        <v>0.7931034482758621</v>
      </c>
    </row>
    <row r="670" spans="1:5" ht="19.5" customHeight="1">
      <c r="A670" s="170" t="s">
        <v>596</v>
      </c>
      <c r="B670" s="169"/>
      <c r="C670" s="278">
        <v>11</v>
      </c>
      <c r="D670" s="184"/>
      <c r="E670" s="285">
        <f>C670/6</f>
        <v>1.8333333333333333</v>
      </c>
    </row>
    <row r="671" spans="1:5" ht="19.5" customHeight="1">
      <c r="A671" s="170" t="s">
        <v>597</v>
      </c>
      <c r="B671" s="169"/>
      <c r="C671" s="278"/>
      <c r="D671" s="184"/>
      <c r="E671" s="285"/>
    </row>
    <row r="672" spans="1:5" ht="19.5" customHeight="1">
      <c r="A672" s="170" t="s">
        <v>598</v>
      </c>
      <c r="B672" s="169"/>
      <c r="C672" s="278">
        <v>1274</v>
      </c>
      <c r="D672" s="184"/>
      <c r="E672" s="285"/>
    </row>
    <row r="673" spans="1:5" ht="19.5" customHeight="1">
      <c r="A673" s="166" t="s">
        <v>599</v>
      </c>
      <c r="B673" s="167"/>
      <c r="C673" s="278"/>
      <c r="D673" s="184"/>
      <c r="E673" s="285"/>
    </row>
    <row r="674" spans="1:5" ht="19.5" customHeight="1">
      <c r="A674" s="168" t="s">
        <v>600</v>
      </c>
      <c r="B674" s="169"/>
      <c r="C674" s="278"/>
      <c r="D674" s="184"/>
      <c r="E674" s="285"/>
    </row>
    <row r="675" spans="1:5" ht="19.5" customHeight="1">
      <c r="A675" s="170" t="s">
        <v>601</v>
      </c>
      <c r="B675" s="169"/>
      <c r="C675" s="278"/>
      <c r="D675" s="184"/>
      <c r="E675" s="285"/>
    </row>
    <row r="676" spans="1:5" ht="19.5" customHeight="1">
      <c r="A676" s="170" t="s">
        <v>602</v>
      </c>
      <c r="B676" s="169"/>
      <c r="C676" s="278"/>
      <c r="D676" s="184"/>
      <c r="E676" s="285"/>
    </row>
    <row r="677" spans="1:5" ht="19.5" customHeight="1">
      <c r="A677" s="170" t="s">
        <v>603</v>
      </c>
      <c r="B677" s="169"/>
      <c r="C677" s="278"/>
      <c r="D677" s="184"/>
      <c r="E677" s="285"/>
    </row>
    <row r="678" spans="1:5" ht="19.5" customHeight="1">
      <c r="A678" s="170" t="s">
        <v>604</v>
      </c>
      <c r="B678" s="169"/>
      <c r="C678" s="278"/>
      <c r="D678" s="184"/>
      <c r="E678" s="285"/>
    </row>
    <row r="679" spans="1:5" ht="19.5" customHeight="1">
      <c r="A679" s="166" t="s">
        <v>605</v>
      </c>
      <c r="B679" s="169"/>
      <c r="C679" s="278"/>
      <c r="D679" s="184"/>
      <c r="E679" s="285"/>
    </row>
    <row r="680" spans="1:5" ht="19.5" customHeight="1">
      <c r="A680" s="166" t="s">
        <v>606</v>
      </c>
      <c r="B680" s="167">
        <v>2100</v>
      </c>
      <c r="C680" s="278">
        <f>SUM(C681:C682)</f>
        <v>2100</v>
      </c>
      <c r="D680" s="184">
        <f t="shared" si="12"/>
        <v>1</v>
      </c>
      <c r="E680" s="285">
        <f>C680/680</f>
        <v>3.0882352941176472</v>
      </c>
    </row>
    <row r="681" spans="1:5" ht="19.5" customHeight="1">
      <c r="A681" s="168" t="s">
        <v>607</v>
      </c>
      <c r="B681" s="169"/>
      <c r="C681" s="278">
        <v>2100</v>
      </c>
      <c r="D681" s="184"/>
      <c r="E681" s="285">
        <f>C681/680</f>
        <v>3.0882352941176472</v>
      </c>
    </row>
    <row r="682" spans="1:5" ht="19.5" customHeight="1">
      <c r="A682" s="170" t="s">
        <v>608</v>
      </c>
      <c r="B682" s="169"/>
      <c r="C682" s="278"/>
      <c r="D682" s="184"/>
      <c r="E682" s="285"/>
    </row>
    <row r="683" spans="1:5" ht="19.5" customHeight="1">
      <c r="A683" s="166" t="s">
        <v>609</v>
      </c>
      <c r="B683" s="167"/>
      <c r="C683" s="278">
        <f>C684</f>
        <v>0</v>
      </c>
      <c r="D683" s="184"/>
      <c r="E683" s="285"/>
    </row>
    <row r="684" spans="1:5" ht="19.5" customHeight="1">
      <c r="A684" s="168" t="s">
        <v>610</v>
      </c>
      <c r="B684" s="169"/>
      <c r="C684" s="278"/>
      <c r="D684" s="184"/>
      <c r="E684" s="285"/>
    </row>
    <row r="685" spans="1:5" ht="19.5" customHeight="1">
      <c r="A685" s="166" t="s">
        <v>611</v>
      </c>
      <c r="B685" s="167">
        <v>60</v>
      </c>
      <c r="C685" s="278">
        <f>SUM(C686:C690)</f>
        <v>60</v>
      </c>
      <c r="D685" s="184">
        <f t="shared" si="12"/>
        <v>1</v>
      </c>
      <c r="E685" s="285">
        <f>C685/130</f>
        <v>0.46153846153846156</v>
      </c>
    </row>
    <row r="686" spans="1:5" ht="19.5" customHeight="1">
      <c r="A686" s="168" t="s">
        <v>612</v>
      </c>
      <c r="B686" s="169"/>
      <c r="C686" s="278"/>
      <c r="D686" s="184"/>
      <c r="E686" s="285"/>
    </row>
    <row r="687" spans="1:5" ht="19.5" customHeight="1">
      <c r="A687" s="170" t="s">
        <v>613</v>
      </c>
      <c r="B687" s="169"/>
      <c r="C687" s="278"/>
      <c r="D687" s="184"/>
      <c r="E687" s="285"/>
    </row>
    <row r="688" spans="1:5" ht="19.5" customHeight="1">
      <c r="A688" s="170" t="s">
        <v>614</v>
      </c>
      <c r="B688" s="169"/>
      <c r="C688" s="278">
        <v>60</v>
      </c>
      <c r="D688" s="184"/>
      <c r="E688" s="285">
        <f>C688/130</f>
        <v>0.46153846153846156</v>
      </c>
    </row>
    <row r="689" spans="1:6" ht="19.5" customHeight="1">
      <c r="A689" s="170" t="s">
        <v>615</v>
      </c>
      <c r="B689" s="169"/>
      <c r="C689" s="278"/>
      <c r="D689" s="184"/>
      <c r="E689" s="285"/>
    </row>
    <row r="690" spans="1:6" ht="19.5" customHeight="1">
      <c r="A690" s="170" t="s">
        <v>616</v>
      </c>
      <c r="B690" s="169"/>
      <c r="C690" s="278"/>
      <c r="D690" s="184"/>
      <c r="E690" s="285"/>
    </row>
    <row r="691" spans="1:6" ht="19.5" customHeight="1">
      <c r="A691" s="166" t="s">
        <v>617</v>
      </c>
      <c r="B691" s="167"/>
      <c r="C691" s="278"/>
      <c r="D691" s="184"/>
      <c r="E691" s="285"/>
    </row>
    <row r="692" spans="1:6" ht="19.5" customHeight="1">
      <c r="A692" s="168" t="s">
        <v>618</v>
      </c>
      <c r="B692" s="169"/>
      <c r="C692" s="278"/>
      <c r="D692" s="184"/>
      <c r="E692" s="285"/>
    </row>
    <row r="693" spans="1:6" ht="19.5" customHeight="1">
      <c r="A693" s="166" t="s">
        <v>619</v>
      </c>
      <c r="B693" s="167"/>
      <c r="C693" s="278"/>
      <c r="D693" s="184"/>
      <c r="E693" s="285"/>
    </row>
    <row r="694" spans="1:6" ht="19.5" customHeight="1">
      <c r="A694" s="168" t="s">
        <v>620</v>
      </c>
      <c r="B694" s="169"/>
      <c r="C694" s="278"/>
      <c r="D694" s="184"/>
      <c r="E694" s="285"/>
    </row>
    <row r="695" spans="1:6" ht="19.5" customHeight="1">
      <c r="A695" s="166" t="s">
        <v>621</v>
      </c>
      <c r="B695" s="169"/>
      <c r="C695" s="278"/>
      <c r="D695" s="184"/>
      <c r="E695" s="285"/>
    </row>
    <row r="696" spans="1:6" ht="19.5" customHeight="1">
      <c r="A696" s="166" t="s">
        <v>622</v>
      </c>
      <c r="B696" s="169"/>
      <c r="C696" s="278"/>
      <c r="D696" s="184"/>
      <c r="E696" s="285"/>
    </row>
    <row r="697" spans="1:6" ht="19.5" customHeight="1">
      <c r="A697" s="168" t="s">
        <v>623</v>
      </c>
      <c r="B697" s="169"/>
      <c r="C697" s="278"/>
      <c r="D697" s="184"/>
      <c r="E697" s="285"/>
    </row>
    <row r="698" spans="1:6" ht="19.5" customHeight="1">
      <c r="A698" s="168" t="s">
        <v>624</v>
      </c>
      <c r="B698" s="169"/>
      <c r="C698" s="278"/>
      <c r="D698" s="184"/>
      <c r="E698" s="285"/>
    </row>
    <row r="699" spans="1:6" ht="19.5" customHeight="1">
      <c r="A699" s="168" t="s">
        <v>625</v>
      </c>
      <c r="B699" s="169"/>
      <c r="C699" s="278"/>
      <c r="D699" s="184"/>
      <c r="E699" s="285"/>
    </row>
    <row r="700" spans="1:6" ht="19.5" customHeight="1">
      <c r="A700" s="168" t="s">
        <v>626</v>
      </c>
      <c r="B700" s="169"/>
      <c r="C700" s="278"/>
      <c r="D700" s="184"/>
      <c r="E700" s="285"/>
    </row>
    <row r="701" spans="1:6" ht="19.5" customHeight="1">
      <c r="A701" s="168" t="s">
        <v>627</v>
      </c>
      <c r="B701" s="169"/>
      <c r="C701" s="278"/>
      <c r="D701" s="184"/>
      <c r="E701" s="285"/>
    </row>
    <row r="702" spans="1:6" ht="19.5" customHeight="1">
      <c r="A702" s="166" t="s">
        <v>628</v>
      </c>
      <c r="B702" s="167"/>
      <c r="C702" s="278">
        <f>C703</f>
        <v>0</v>
      </c>
      <c r="D702" s="184"/>
      <c r="E702" s="285"/>
    </row>
    <row r="703" spans="1:6" ht="19.5" customHeight="1">
      <c r="A703" s="168" t="s">
        <v>629</v>
      </c>
      <c r="B703" s="169"/>
      <c r="C703" s="278"/>
      <c r="D703" s="184"/>
      <c r="E703" s="285"/>
    </row>
    <row r="704" spans="1:6" s="180" customFormat="1" ht="19.5" customHeight="1">
      <c r="A704" s="172" t="s">
        <v>630</v>
      </c>
      <c r="B704" s="177">
        <f>B705+B717+B718+B721+B722+B724</f>
        <v>14977</v>
      </c>
      <c r="C704" s="277">
        <f>C705+C717+C718+C721+C722+C724</f>
        <v>14977</v>
      </c>
      <c r="D704" s="181">
        <f t="shared" si="12"/>
        <v>1</v>
      </c>
      <c r="E704" s="284">
        <f>C704/7407</f>
        <v>2.0220062103415688</v>
      </c>
      <c r="F704" s="178"/>
    </row>
    <row r="705" spans="1:5" ht="19.5" customHeight="1">
      <c r="A705" s="166" t="s">
        <v>631</v>
      </c>
      <c r="B705" s="167">
        <v>4297</v>
      </c>
      <c r="C705" s="278">
        <f>SUM(C706:C716)</f>
        <v>4297</v>
      </c>
      <c r="D705" s="184">
        <f t="shared" si="12"/>
        <v>1</v>
      </c>
      <c r="E705" s="285">
        <f>C705/1304</f>
        <v>3.2952453987730062</v>
      </c>
    </row>
    <row r="706" spans="1:5" ht="19.5" customHeight="1">
      <c r="A706" s="168" t="s">
        <v>186</v>
      </c>
      <c r="B706" s="169"/>
      <c r="C706" s="278">
        <v>3458</v>
      </c>
      <c r="D706" s="184"/>
      <c r="E706" s="285">
        <f>C706/576</f>
        <v>6.0034722222222223</v>
      </c>
    </row>
    <row r="707" spans="1:5" ht="19.5" customHeight="1">
      <c r="A707" s="170" t="s">
        <v>176</v>
      </c>
      <c r="B707" s="169"/>
      <c r="C707" s="278">
        <v>788</v>
      </c>
      <c r="D707" s="184"/>
      <c r="E707" s="285">
        <f>C707/728</f>
        <v>1.0824175824175823</v>
      </c>
    </row>
    <row r="708" spans="1:5" ht="19.5" customHeight="1">
      <c r="A708" s="170" t="s">
        <v>177</v>
      </c>
      <c r="B708" s="169"/>
      <c r="C708" s="278"/>
      <c r="D708" s="184"/>
      <c r="E708" s="285"/>
    </row>
    <row r="709" spans="1:5" ht="19.5" customHeight="1">
      <c r="A709" s="170" t="s">
        <v>632</v>
      </c>
      <c r="B709" s="169"/>
      <c r="C709" s="278"/>
      <c r="D709" s="184"/>
      <c r="E709" s="285"/>
    </row>
    <row r="710" spans="1:5" ht="19.5" customHeight="1">
      <c r="A710" s="170" t="s">
        <v>633</v>
      </c>
      <c r="B710" s="169"/>
      <c r="C710" s="278"/>
      <c r="D710" s="184"/>
      <c r="E710" s="285"/>
    </row>
    <row r="711" spans="1:5" ht="19.5" customHeight="1">
      <c r="A711" s="170" t="s">
        <v>634</v>
      </c>
      <c r="B711" s="169"/>
      <c r="C711" s="278"/>
      <c r="D711" s="184"/>
      <c r="E711" s="285"/>
    </row>
    <row r="712" spans="1:5" ht="19.5" customHeight="1">
      <c r="A712" s="170" t="s">
        <v>635</v>
      </c>
      <c r="B712" s="169"/>
      <c r="C712" s="278"/>
      <c r="D712" s="184"/>
      <c r="E712" s="285"/>
    </row>
    <row r="713" spans="1:5" ht="19.5" customHeight="1">
      <c r="A713" s="170" t="s">
        <v>636</v>
      </c>
      <c r="B713" s="169"/>
      <c r="C713" s="278"/>
      <c r="D713" s="184"/>
      <c r="E713" s="285"/>
    </row>
    <row r="714" spans="1:5" ht="19.5" customHeight="1">
      <c r="A714" s="170" t="s">
        <v>637</v>
      </c>
      <c r="B714" s="169"/>
      <c r="C714" s="278"/>
      <c r="D714" s="184"/>
      <c r="E714" s="285"/>
    </row>
    <row r="715" spans="1:5" ht="19.5" customHeight="1">
      <c r="A715" s="170" t="s">
        <v>638</v>
      </c>
      <c r="B715" s="169"/>
      <c r="C715" s="278"/>
      <c r="D715" s="184"/>
      <c r="E715" s="285"/>
    </row>
    <row r="716" spans="1:5" ht="19.5" customHeight="1">
      <c r="A716" s="170" t="s">
        <v>639</v>
      </c>
      <c r="B716" s="169"/>
      <c r="C716" s="278">
        <v>51</v>
      </c>
      <c r="D716" s="184"/>
      <c r="E716" s="285"/>
    </row>
    <row r="717" spans="1:5" ht="19.5" customHeight="1">
      <c r="A717" s="166" t="s">
        <v>640</v>
      </c>
      <c r="B717" s="169">
        <v>30</v>
      </c>
      <c r="C717" s="278">
        <v>30</v>
      </c>
      <c r="D717" s="184">
        <f t="shared" ref="D717:D755" si="13">C717/B717</f>
        <v>1</v>
      </c>
      <c r="E717" s="285"/>
    </row>
    <row r="718" spans="1:5" ht="19.5" customHeight="1">
      <c r="A718" s="166" t="s">
        <v>641</v>
      </c>
      <c r="B718" s="167">
        <v>10650</v>
      </c>
      <c r="C718" s="278">
        <f>SUM(C719:C720)</f>
        <v>10650</v>
      </c>
      <c r="D718" s="184">
        <f t="shared" si="13"/>
        <v>1</v>
      </c>
      <c r="E718" s="285">
        <f>C718/4800</f>
        <v>2.21875</v>
      </c>
    </row>
    <row r="719" spans="1:5" ht="19.5" customHeight="1">
      <c r="A719" s="168" t="s">
        <v>642</v>
      </c>
      <c r="B719" s="169"/>
      <c r="C719" s="278">
        <v>10150</v>
      </c>
      <c r="D719" s="184"/>
      <c r="E719" s="285">
        <f>C719/4800</f>
        <v>2.1145833333333335</v>
      </c>
    </row>
    <row r="720" spans="1:5" ht="19.5" customHeight="1">
      <c r="A720" s="170" t="s">
        <v>643</v>
      </c>
      <c r="B720" s="169"/>
      <c r="C720" s="278">
        <v>500</v>
      </c>
      <c r="D720" s="184"/>
      <c r="E720" s="285"/>
    </row>
    <row r="721" spans="1:6" ht="19.5" customHeight="1">
      <c r="A721" s="166" t="s">
        <v>644</v>
      </c>
      <c r="B721" s="169"/>
      <c r="C721" s="278"/>
      <c r="D721" s="184"/>
      <c r="E721" s="285"/>
    </row>
    <row r="722" spans="1:6" ht="19.5" customHeight="1">
      <c r="A722" s="166" t="s">
        <v>645</v>
      </c>
      <c r="B722" s="167"/>
      <c r="C722" s="278"/>
      <c r="D722" s="184"/>
      <c r="E722" s="285"/>
    </row>
    <row r="723" spans="1:6" ht="19.5" customHeight="1">
      <c r="A723" s="168" t="s">
        <v>646</v>
      </c>
      <c r="B723" s="169"/>
      <c r="C723" s="278"/>
      <c r="D723" s="184"/>
      <c r="E723" s="285"/>
    </row>
    <row r="724" spans="1:6" ht="19.5" customHeight="1">
      <c r="A724" s="166" t="s">
        <v>647</v>
      </c>
      <c r="B724" s="167"/>
      <c r="C724" s="278">
        <f>C725</f>
        <v>0</v>
      </c>
      <c r="D724" s="184"/>
      <c r="E724" s="285"/>
    </row>
    <row r="725" spans="1:6" ht="19.5" customHeight="1">
      <c r="A725" s="168" t="s">
        <v>648</v>
      </c>
      <c r="B725" s="169"/>
      <c r="C725" s="278"/>
      <c r="D725" s="184"/>
      <c r="E725" s="285"/>
    </row>
    <row r="726" spans="1:6" s="180" customFormat="1" ht="19.5" customHeight="1">
      <c r="A726" s="172" t="s">
        <v>649</v>
      </c>
      <c r="B726" s="177">
        <f>B727+B755+B784+B811+B828+B835+B840</f>
        <v>81310</v>
      </c>
      <c r="C726" s="277">
        <f>C727+C755+C784+C811+C828+C835+C840</f>
        <v>80926</v>
      </c>
      <c r="D726" s="181">
        <f t="shared" si="13"/>
        <v>0.99527733366129623</v>
      </c>
      <c r="E726" s="284">
        <f>C726/61986</f>
        <v>1.3055528667763689</v>
      </c>
      <c r="F726" s="178"/>
    </row>
    <row r="727" spans="1:6" ht="19.5" customHeight="1">
      <c r="A727" s="166" t="s">
        <v>650</v>
      </c>
      <c r="B727" s="167">
        <v>20946</v>
      </c>
      <c r="C727" s="278">
        <f>SUM(C728:C754)</f>
        <v>20944</v>
      </c>
      <c r="D727" s="184">
        <f t="shared" si="13"/>
        <v>0.99990451637544164</v>
      </c>
      <c r="E727" s="285">
        <f>C727/18358</f>
        <v>1.1408650179758144</v>
      </c>
    </row>
    <row r="728" spans="1:6" ht="19.5" customHeight="1">
      <c r="A728" s="168" t="s">
        <v>186</v>
      </c>
      <c r="B728" s="169"/>
      <c r="C728" s="278">
        <v>267</v>
      </c>
      <c r="D728" s="184"/>
      <c r="E728" s="285">
        <f>C728/337</f>
        <v>0.79228486646884277</v>
      </c>
    </row>
    <row r="729" spans="1:6" ht="19.5" customHeight="1">
      <c r="A729" s="170" t="s">
        <v>176</v>
      </c>
      <c r="B729" s="169"/>
      <c r="C729" s="278">
        <v>2978</v>
      </c>
      <c r="D729" s="184"/>
      <c r="E729" s="285">
        <f>C729/2665</f>
        <v>1.1174484052532834</v>
      </c>
    </row>
    <row r="730" spans="1:6" ht="19.5" customHeight="1">
      <c r="A730" s="170" t="s">
        <v>177</v>
      </c>
      <c r="B730" s="169"/>
      <c r="C730" s="278"/>
      <c r="D730" s="184"/>
      <c r="E730" s="285"/>
    </row>
    <row r="731" spans="1:6" ht="19.5" customHeight="1">
      <c r="A731" s="170" t="s">
        <v>184</v>
      </c>
      <c r="B731" s="169"/>
      <c r="C731" s="278"/>
      <c r="D731" s="184"/>
      <c r="E731" s="285"/>
    </row>
    <row r="732" spans="1:6" ht="19.5" customHeight="1">
      <c r="A732" s="170" t="s">
        <v>651</v>
      </c>
      <c r="B732" s="169"/>
      <c r="C732" s="278"/>
      <c r="D732" s="184"/>
      <c r="E732" s="285"/>
    </row>
    <row r="733" spans="1:6" ht="19.5" customHeight="1">
      <c r="A733" s="170" t="s">
        <v>652</v>
      </c>
      <c r="B733" s="169"/>
      <c r="C733" s="278">
        <v>46</v>
      </c>
      <c r="D733" s="184"/>
      <c r="E733" s="285">
        <f>C733/16</f>
        <v>2.875</v>
      </c>
    </row>
    <row r="734" spans="1:6" ht="19.5" customHeight="1">
      <c r="A734" s="170" t="s">
        <v>653</v>
      </c>
      <c r="B734" s="169"/>
      <c r="C734" s="278">
        <v>177</v>
      </c>
      <c r="D734" s="184"/>
      <c r="E734" s="285">
        <f>C734/135</f>
        <v>1.3111111111111111</v>
      </c>
    </row>
    <row r="735" spans="1:6" ht="19.5" customHeight="1">
      <c r="A735" s="170" t="s">
        <v>654</v>
      </c>
      <c r="B735" s="169"/>
      <c r="C735" s="278">
        <v>2</v>
      </c>
      <c r="D735" s="184"/>
      <c r="E735" s="285"/>
    </row>
    <row r="736" spans="1:6" ht="19.5" customHeight="1">
      <c r="A736" s="170" t="s">
        <v>655</v>
      </c>
      <c r="B736" s="169"/>
      <c r="C736" s="278">
        <v>6</v>
      </c>
      <c r="D736" s="184"/>
      <c r="E736" s="285">
        <f>C736/6</f>
        <v>1</v>
      </c>
    </row>
    <row r="737" spans="1:5" ht="19.5" customHeight="1">
      <c r="A737" s="170" t="s">
        <v>656</v>
      </c>
      <c r="B737" s="169"/>
      <c r="C737" s="278"/>
      <c r="D737" s="184"/>
      <c r="E737" s="285"/>
    </row>
    <row r="738" spans="1:5" ht="19.5" customHeight="1">
      <c r="A738" s="170" t="s">
        <v>657</v>
      </c>
      <c r="B738" s="169"/>
      <c r="C738" s="278"/>
      <c r="D738" s="184"/>
      <c r="E738" s="285"/>
    </row>
    <row r="739" spans="1:5" ht="19.5" customHeight="1">
      <c r="A739" s="170" t="s">
        <v>658</v>
      </c>
      <c r="B739" s="169"/>
      <c r="C739" s="278"/>
      <c r="D739" s="184"/>
      <c r="E739" s="285"/>
    </row>
    <row r="740" spans="1:5" ht="19.5" customHeight="1">
      <c r="A740" s="170" t="s">
        <v>659</v>
      </c>
      <c r="B740" s="169"/>
      <c r="C740" s="278"/>
      <c r="D740" s="184"/>
      <c r="E740" s="285">
        <f>C740/776</f>
        <v>0</v>
      </c>
    </row>
    <row r="741" spans="1:5" ht="19.5" customHeight="1">
      <c r="A741" s="170" t="s">
        <v>660</v>
      </c>
      <c r="B741" s="169"/>
      <c r="C741" s="278"/>
      <c r="D741" s="184"/>
      <c r="E741" s="285"/>
    </row>
    <row r="742" spans="1:5" ht="19.5" customHeight="1">
      <c r="A742" s="170" t="s">
        <v>661</v>
      </c>
      <c r="B742" s="169"/>
      <c r="C742" s="278"/>
      <c r="D742" s="184"/>
      <c r="E742" s="285"/>
    </row>
    <row r="743" spans="1:5" ht="19.5" customHeight="1">
      <c r="A743" s="170" t="s">
        <v>662</v>
      </c>
      <c r="B743" s="169"/>
      <c r="C743" s="278">
        <v>20</v>
      </c>
      <c r="D743" s="184"/>
      <c r="E743" s="285">
        <f>C743/10</f>
        <v>2</v>
      </c>
    </row>
    <row r="744" spans="1:5" ht="19.5" customHeight="1">
      <c r="A744" s="170" t="s">
        <v>663</v>
      </c>
      <c r="B744" s="169"/>
      <c r="C744" s="278"/>
      <c r="D744" s="184"/>
      <c r="E744" s="285"/>
    </row>
    <row r="745" spans="1:5" ht="19.5" customHeight="1">
      <c r="A745" s="170" t="s">
        <v>664</v>
      </c>
      <c r="B745" s="169"/>
      <c r="C745" s="278">
        <v>1755</v>
      </c>
      <c r="D745" s="184"/>
      <c r="E745" s="285">
        <f>C745/2055</f>
        <v>0.85401459854014594</v>
      </c>
    </row>
    <row r="746" spans="1:5" ht="19.5" customHeight="1">
      <c r="A746" s="170" t="s">
        <v>665</v>
      </c>
      <c r="B746" s="169"/>
      <c r="C746" s="278"/>
      <c r="D746" s="184"/>
      <c r="E746" s="285">
        <f>C746/100</f>
        <v>0</v>
      </c>
    </row>
    <row r="747" spans="1:5" ht="19.5" customHeight="1">
      <c r="A747" s="170" t="s">
        <v>666</v>
      </c>
      <c r="B747" s="169"/>
      <c r="C747" s="278"/>
      <c r="D747" s="184"/>
      <c r="E747" s="285"/>
    </row>
    <row r="748" spans="1:5" ht="19.5" customHeight="1">
      <c r="A748" s="170" t="s">
        <v>667</v>
      </c>
      <c r="B748" s="169"/>
      <c r="C748" s="278">
        <v>10226</v>
      </c>
      <c r="D748" s="184"/>
      <c r="E748" s="285">
        <f>C748/9416</f>
        <v>1.0860237892948172</v>
      </c>
    </row>
    <row r="749" spans="1:5" ht="19.5" customHeight="1">
      <c r="A749" s="170" t="s">
        <v>668</v>
      </c>
      <c r="B749" s="169"/>
      <c r="C749" s="278">
        <v>5090</v>
      </c>
      <c r="D749" s="184"/>
      <c r="E749" s="285"/>
    </row>
    <row r="750" spans="1:5" ht="19.5" customHeight="1">
      <c r="A750" s="170" t="s">
        <v>669</v>
      </c>
      <c r="B750" s="169"/>
      <c r="C750" s="278"/>
      <c r="D750" s="184"/>
      <c r="E750" s="285"/>
    </row>
    <row r="751" spans="1:5" ht="19.5" customHeight="1">
      <c r="A751" s="170" t="s">
        <v>670</v>
      </c>
      <c r="B751" s="169"/>
      <c r="C751" s="278"/>
      <c r="D751" s="184"/>
      <c r="E751" s="285"/>
    </row>
    <row r="752" spans="1:5" ht="19.5" customHeight="1">
      <c r="A752" s="170" t="s">
        <v>671</v>
      </c>
      <c r="B752" s="169"/>
      <c r="C752" s="278">
        <v>38</v>
      </c>
      <c r="D752" s="184"/>
      <c r="E752" s="285">
        <f>C752/13</f>
        <v>2.9230769230769229</v>
      </c>
    </row>
    <row r="753" spans="1:5" ht="19.5" customHeight="1">
      <c r="A753" s="170" t="s">
        <v>672</v>
      </c>
      <c r="B753" s="169"/>
      <c r="C753" s="278"/>
      <c r="D753" s="184"/>
      <c r="E753" s="285"/>
    </row>
    <row r="754" spans="1:5" ht="19.5" customHeight="1">
      <c r="A754" s="170" t="s">
        <v>673</v>
      </c>
      <c r="B754" s="169"/>
      <c r="C754" s="278">
        <v>339</v>
      </c>
      <c r="D754" s="184"/>
      <c r="E754" s="285">
        <f>C754/2829</f>
        <v>0.11983032873806999</v>
      </c>
    </row>
    <row r="755" spans="1:5" ht="19.5" customHeight="1">
      <c r="A755" s="166" t="s">
        <v>674</v>
      </c>
      <c r="B755" s="167">
        <v>2872</v>
      </c>
      <c r="C755" s="278">
        <f>SUM(C756:C783)</f>
        <v>2872</v>
      </c>
      <c r="D755" s="184">
        <f t="shared" si="13"/>
        <v>1</v>
      </c>
      <c r="E755" s="285">
        <f>C755/6092</f>
        <v>0.47143795141168748</v>
      </c>
    </row>
    <row r="756" spans="1:5" ht="19.5" customHeight="1">
      <c r="A756" s="168" t="s">
        <v>186</v>
      </c>
      <c r="B756" s="169"/>
      <c r="C756" s="278">
        <v>237</v>
      </c>
      <c r="D756" s="184"/>
      <c r="E756" s="285">
        <f>C756/211</f>
        <v>1.1232227488151658</v>
      </c>
    </row>
    <row r="757" spans="1:5" ht="19.5" customHeight="1">
      <c r="A757" s="170" t="s">
        <v>176</v>
      </c>
      <c r="B757" s="169"/>
      <c r="C757" s="278">
        <v>171</v>
      </c>
      <c r="D757" s="184"/>
      <c r="E757" s="285">
        <f>C757/166</f>
        <v>1.0301204819277108</v>
      </c>
    </row>
    <row r="758" spans="1:5" ht="19.5" customHeight="1">
      <c r="A758" s="170" t="s">
        <v>177</v>
      </c>
      <c r="B758" s="169"/>
      <c r="C758" s="278"/>
      <c r="D758" s="184"/>
      <c r="E758" s="285"/>
    </row>
    <row r="759" spans="1:5" ht="19.5" customHeight="1">
      <c r="A759" s="170" t="s">
        <v>675</v>
      </c>
      <c r="B759" s="169"/>
      <c r="C759" s="278"/>
      <c r="D759" s="184"/>
      <c r="E759" s="285"/>
    </row>
    <row r="760" spans="1:5" ht="19.5" customHeight="1">
      <c r="A760" s="170" t="s">
        <v>676</v>
      </c>
      <c r="B760" s="169"/>
      <c r="C760" s="278"/>
      <c r="D760" s="184"/>
      <c r="E760" s="285"/>
    </row>
    <row r="761" spans="1:5" ht="19.5" customHeight="1">
      <c r="A761" s="170" t="s">
        <v>677</v>
      </c>
      <c r="B761" s="169"/>
      <c r="C761" s="278"/>
      <c r="D761" s="184"/>
      <c r="E761" s="285"/>
    </row>
    <row r="762" spans="1:5" ht="19.5" customHeight="1">
      <c r="A762" s="170" t="s">
        <v>678</v>
      </c>
      <c r="B762" s="169"/>
      <c r="C762" s="278"/>
      <c r="D762" s="184"/>
      <c r="E762" s="285"/>
    </row>
    <row r="763" spans="1:5" ht="19.5" customHeight="1">
      <c r="A763" s="170" t="s">
        <v>679</v>
      </c>
      <c r="B763" s="169"/>
      <c r="C763" s="278"/>
      <c r="D763" s="184"/>
      <c r="E763" s="285"/>
    </row>
    <row r="764" spans="1:5" ht="19.5" customHeight="1">
      <c r="A764" s="170" t="s">
        <v>680</v>
      </c>
      <c r="B764" s="169"/>
      <c r="C764" s="278">
        <v>144</v>
      </c>
      <c r="D764" s="184"/>
      <c r="E764" s="285">
        <f>C764/144</f>
        <v>1</v>
      </c>
    </row>
    <row r="765" spans="1:5" ht="19.5" customHeight="1">
      <c r="A765" s="170" t="s">
        <v>681</v>
      </c>
      <c r="B765" s="169"/>
      <c r="C765" s="278">
        <v>50</v>
      </c>
      <c r="D765" s="184"/>
      <c r="E765" s="285"/>
    </row>
    <row r="766" spans="1:5" ht="19.5" customHeight="1">
      <c r="A766" s="170" t="s">
        <v>682</v>
      </c>
      <c r="B766" s="169"/>
      <c r="C766" s="278"/>
      <c r="D766" s="184"/>
      <c r="E766" s="285">
        <f>C766/111</f>
        <v>0</v>
      </c>
    </row>
    <row r="767" spans="1:5" ht="19.5" customHeight="1">
      <c r="A767" s="170" t="s">
        <v>683</v>
      </c>
      <c r="B767" s="169"/>
      <c r="C767" s="278">
        <v>316</v>
      </c>
      <c r="D767" s="184"/>
      <c r="E767" s="285">
        <f>C767/270</f>
        <v>1.1703703703703703</v>
      </c>
    </row>
    <row r="768" spans="1:5" ht="19.5" customHeight="1">
      <c r="A768" s="170" t="s">
        <v>684</v>
      </c>
      <c r="B768" s="169"/>
      <c r="C768" s="278"/>
      <c r="D768" s="184"/>
      <c r="E768" s="285"/>
    </row>
    <row r="769" spans="1:5" ht="19.5" customHeight="1">
      <c r="A769" s="170" t="s">
        <v>685</v>
      </c>
      <c r="B769" s="169"/>
      <c r="C769" s="278"/>
      <c r="D769" s="184"/>
      <c r="E769" s="285"/>
    </row>
    <row r="770" spans="1:5" ht="19.5" customHeight="1">
      <c r="A770" s="170" t="s">
        <v>686</v>
      </c>
      <c r="B770" s="169"/>
      <c r="C770" s="278">
        <v>1180</v>
      </c>
      <c r="D770" s="184"/>
      <c r="E770" s="285">
        <f>C770/1400</f>
        <v>0.84285714285714286</v>
      </c>
    </row>
    <row r="771" spans="1:5" ht="19.5" customHeight="1">
      <c r="A771" s="170" t="s">
        <v>687</v>
      </c>
      <c r="B771" s="169"/>
      <c r="C771" s="278"/>
      <c r="D771" s="184"/>
      <c r="E771" s="285"/>
    </row>
    <row r="772" spans="1:5" ht="19.5" customHeight="1">
      <c r="A772" s="170" t="s">
        <v>688</v>
      </c>
      <c r="B772" s="169"/>
      <c r="C772" s="278"/>
      <c r="D772" s="184"/>
      <c r="E772" s="285"/>
    </row>
    <row r="773" spans="1:5" ht="19.5" customHeight="1">
      <c r="A773" s="170" t="s">
        <v>689</v>
      </c>
      <c r="B773" s="169"/>
      <c r="C773" s="278"/>
      <c r="D773" s="184"/>
      <c r="E773" s="285"/>
    </row>
    <row r="774" spans="1:5" ht="19.5" customHeight="1">
      <c r="A774" s="170" t="s">
        <v>690</v>
      </c>
      <c r="B774" s="169"/>
      <c r="C774" s="278"/>
      <c r="D774" s="184"/>
      <c r="E774" s="285"/>
    </row>
    <row r="775" spans="1:5" ht="19.5" customHeight="1">
      <c r="A775" s="170" t="s">
        <v>691</v>
      </c>
      <c r="B775" s="169"/>
      <c r="C775" s="278"/>
      <c r="D775" s="184"/>
      <c r="E775" s="285"/>
    </row>
    <row r="776" spans="1:5" ht="19.5" customHeight="1">
      <c r="A776" s="170" t="s">
        <v>692</v>
      </c>
      <c r="B776" s="169"/>
      <c r="C776" s="278"/>
      <c r="D776" s="184"/>
      <c r="E776" s="285"/>
    </row>
    <row r="777" spans="1:5" ht="19.5" customHeight="1">
      <c r="A777" s="170" t="s">
        <v>693</v>
      </c>
      <c r="B777" s="169"/>
      <c r="C777" s="278"/>
      <c r="D777" s="184"/>
      <c r="E777" s="285"/>
    </row>
    <row r="778" spans="1:5" ht="19.5" customHeight="1">
      <c r="A778" s="170" t="s">
        <v>694</v>
      </c>
      <c r="B778" s="169"/>
      <c r="C778" s="278"/>
      <c r="D778" s="184"/>
      <c r="E778" s="285"/>
    </row>
    <row r="779" spans="1:5" ht="19.5" customHeight="1">
      <c r="A779" s="170" t="s">
        <v>695</v>
      </c>
      <c r="B779" s="169"/>
      <c r="C779" s="278"/>
      <c r="D779" s="184"/>
      <c r="E779" s="285"/>
    </row>
    <row r="780" spans="1:5" ht="19.5" customHeight="1">
      <c r="A780" s="170" t="s">
        <v>696</v>
      </c>
      <c r="B780" s="169"/>
      <c r="C780" s="278"/>
      <c r="D780" s="184"/>
      <c r="E780" s="285"/>
    </row>
    <row r="781" spans="1:5" ht="19.5" customHeight="1">
      <c r="A781" s="170" t="s">
        <v>697</v>
      </c>
      <c r="B781" s="169"/>
      <c r="C781" s="278"/>
      <c r="D781" s="184"/>
      <c r="E781" s="285"/>
    </row>
    <row r="782" spans="1:5" ht="19.5" customHeight="1">
      <c r="A782" s="170" t="s">
        <v>698</v>
      </c>
      <c r="B782" s="169"/>
      <c r="C782" s="278">
        <v>10</v>
      </c>
      <c r="D782" s="184"/>
      <c r="E782" s="285"/>
    </row>
    <row r="783" spans="1:5" ht="19.5" customHeight="1">
      <c r="A783" s="170" t="s">
        <v>699</v>
      </c>
      <c r="B783" s="169"/>
      <c r="C783" s="278">
        <v>764</v>
      </c>
      <c r="D783" s="184"/>
      <c r="E783" s="285">
        <f>C783/3790</f>
        <v>0.20158311345646437</v>
      </c>
    </row>
    <row r="784" spans="1:5" ht="19.5" customHeight="1">
      <c r="A784" s="166" t="s">
        <v>700</v>
      </c>
      <c r="B784" s="167">
        <v>11274</v>
      </c>
      <c r="C784" s="278">
        <f>SUM(C785:C809)</f>
        <v>11274</v>
      </c>
      <c r="D784" s="184">
        <f t="shared" ref="D784:D835" si="14">C784/B784</f>
        <v>1</v>
      </c>
      <c r="E784" s="285">
        <f>C784/10907</f>
        <v>1.0336481158888786</v>
      </c>
    </row>
    <row r="785" spans="1:5" ht="19.5" customHeight="1">
      <c r="A785" s="168" t="s">
        <v>186</v>
      </c>
      <c r="B785" s="169"/>
      <c r="C785" s="278">
        <v>122</v>
      </c>
      <c r="D785" s="184"/>
      <c r="E785" s="285">
        <f>C785/125</f>
        <v>0.97599999999999998</v>
      </c>
    </row>
    <row r="786" spans="1:5" ht="19.5" customHeight="1">
      <c r="A786" s="170" t="s">
        <v>176</v>
      </c>
      <c r="B786" s="169"/>
      <c r="C786" s="278">
        <v>224</v>
      </c>
      <c r="D786" s="184"/>
      <c r="E786" s="285">
        <f>C786/222</f>
        <v>1.0090090090090089</v>
      </c>
    </row>
    <row r="787" spans="1:5" ht="19.5" customHeight="1">
      <c r="A787" s="170" t="s">
        <v>177</v>
      </c>
      <c r="B787" s="169"/>
      <c r="C787" s="278"/>
      <c r="D787" s="184"/>
      <c r="E787" s="285"/>
    </row>
    <row r="788" spans="1:5" ht="19.5" customHeight="1">
      <c r="A788" s="170" t="s">
        <v>701</v>
      </c>
      <c r="B788" s="169"/>
      <c r="C788" s="278"/>
      <c r="D788" s="184"/>
      <c r="E788" s="285"/>
    </row>
    <row r="789" spans="1:5" ht="19.5" customHeight="1">
      <c r="A789" s="170" t="s">
        <v>702</v>
      </c>
      <c r="B789" s="169"/>
      <c r="C789" s="278">
        <v>1000</v>
      </c>
      <c r="D789" s="184"/>
      <c r="E789" s="285">
        <f>C789/9086</f>
        <v>0.1100594320933304</v>
      </c>
    </row>
    <row r="790" spans="1:5" ht="19.5" customHeight="1">
      <c r="A790" s="170" t="s">
        <v>703</v>
      </c>
      <c r="B790" s="169"/>
      <c r="C790" s="278">
        <v>15</v>
      </c>
      <c r="D790" s="184"/>
      <c r="E790" s="285"/>
    </row>
    <row r="791" spans="1:5" ht="19.5" customHeight="1">
      <c r="A791" s="170" t="s">
        <v>704</v>
      </c>
      <c r="B791" s="169"/>
      <c r="C791" s="278"/>
      <c r="D791" s="184"/>
      <c r="E791" s="285"/>
    </row>
    <row r="792" spans="1:5" ht="19.5" customHeight="1">
      <c r="A792" s="170" t="s">
        <v>705</v>
      </c>
      <c r="B792" s="169"/>
      <c r="C792" s="278"/>
      <c r="D792" s="184"/>
      <c r="E792" s="285"/>
    </row>
    <row r="793" spans="1:5" ht="19.5" customHeight="1">
      <c r="A793" s="170" t="s">
        <v>706</v>
      </c>
      <c r="B793" s="169"/>
      <c r="C793" s="278"/>
      <c r="D793" s="184"/>
      <c r="E793" s="285"/>
    </row>
    <row r="794" spans="1:5" ht="19.5" customHeight="1">
      <c r="A794" s="170" t="s">
        <v>707</v>
      </c>
      <c r="B794" s="169"/>
      <c r="C794" s="278"/>
      <c r="D794" s="184"/>
      <c r="E794" s="285">
        <f>C794/75</f>
        <v>0</v>
      </c>
    </row>
    <row r="795" spans="1:5" ht="19.5" customHeight="1">
      <c r="A795" s="170" t="s">
        <v>708</v>
      </c>
      <c r="B795" s="169"/>
      <c r="C795" s="278"/>
      <c r="D795" s="184"/>
      <c r="E795" s="285"/>
    </row>
    <row r="796" spans="1:5" ht="19.5" customHeight="1">
      <c r="A796" s="170" t="s">
        <v>709</v>
      </c>
      <c r="B796" s="169"/>
      <c r="C796" s="278"/>
      <c r="D796" s="184"/>
      <c r="E796" s="285"/>
    </row>
    <row r="797" spans="1:5" ht="19.5" customHeight="1">
      <c r="A797" s="170" t="s">
        <v>710</v>
      </c>
      <c r="B797" s="169"/>
      <c r="C797" s="278"/>
      <c r="D797" s="184"/>
      <c r="E797" s="285"/>
    </row>
    <row r="798" spans="1:5" ht="19.5" customHeight="1">
      <c r="A798" s="170" t="s">
        <v>711</v>
      </c>
      <c r="B798" s="169"/>
      <c r="C798" s="278">
        <v>265</v>
      </c>
      <c r="D798" s="184"/>
      <c r="E798" s="285">
        <f>C798/40</f>
        <v>6.625</v>
      </c>
    </row>
    <row r="799" spans="1:5" ht="19.5" customHeight="1">
      <c r="A799" s="170" t="s">
        <v>712</v>
      </c>
      <c r="B799" s="169"/>
      <c r="C799" s="278">
        <v>50</v>
      </c>
      <c r="D799" s="184"/>
      <c r="E799" s="285"/>
    </row>
    <row r="800" spans="1:5" ht="19.5" customHeight="1">
      <c r="A800" s="170" t="s">
        <v>713</v>
      </c>
      <c r="B800" s="169"/>
      <c r="C800" s="278"/>
      <c r="D800" s="184"/>
      <c r="E800" s="285">
        <f>C800/516</f>
        <v>0</v>
      </c>
    </row>
    <row r="801" spans="1:5" ht="19.5" customHeight="1">
      <c r="A801" s="170" t="s">
        <v>714</v>
      </c>
      <c r="B801" s="169"/>
      <c r="C801" s="278"/>
      <c r="D801" s="184"/>
      <c r="E801" s="285"/>
    </row>
    <row r="802" spans="1:5" ht="19.5" customHeight="1">
      <c r="A802" s="170" t="s">
        <v>715</v>
      </c>
      <c r="B802" s="169"/>
      <c r="C802" s="278"/>
      <c r="D802" s="184"/>
      <c r="E802" s="285"/>
    </row>
    <row r="803" spans="1:5" ht="19.5" customHeight="1">
      <c r="A803" s="170" t="s">
        <v>716</v>
      </c>
      <c r="B803" s="169"/>
      <c r="C803" s="278"/>
      <c r="D803" s="184"/>
      <c r="E803" s="285"/>
    </row>
    <row r="804" spans="1:5" ht="19.5" customHeight="1">
      <c r="A804" s="170" t="s">
        <v>717</v>
      </c>
      <c r="B804" s="167"/>
      <c r="C804" s="278"/>
      <c r="D804" s="184"/>
      <c r="E804" s="285"/>
    </row>
    <row r="805" spans="1:5" ht="19.5" customHeight="1">
      <c r="A805" s="170" t="s">
        <v>718</v>
      </c>
      <c r="B805" s="169"/>
      <c r="C805" s="278"/>
      <c r="D805" s="184"/>
      <c r="E805" s="285"/>
    </row>
    <row r="806" spans="1:5" ht="19.5" customHeight="1">
      <c r="A806" s="170" t="s">
        <v>691</v>
      </c>
      <c r="B806" s="169"/>
      <c r="C806" s="278"/>
      <c r="D806" s="184"/>
      <c r="E806" s="285"/>
    </row>
    <row r="807" spans="1:5" ht="19.5" customHeight="1">
      <c r="A807" s="170" t="s">
        <v>719</v>
      </c>
      <c r="B807" s="169"/>
      <c r="C807" s="278"/>
      <c r="D807" s="184"/>
      <c r="E807" s="285"/>
    </row>
    <row r="808" spans="1:5" ht="19.5" customHeight="1">
      <c r="A808" s="170" t="s">
        <v>720</v>
      </c>
      <c r="B808" s="169"/>
      <c r="C808" s="278">
        <v>49</v>
      </c>
      <c r="D808" s="184"/>
      <c r="E808" s="285">
        <f>C808/9</f>
        <v>5.4444444444444446</v>
      </c>
    </row>
    <row r="809" spans="1:5" ht="19.5" customHeight="1">
      <c r="A809" s="170" t="s">
        <v>1049</v>
      </c>
      <c r="B809" s="169"/>
      <c r="C809" s="278">
        <v>9549</v>
      </c>
      <c r="D809" s="184"/>
      <c r="E809" s="285">
        <f>C809/834</f>
        <v>11.449640287769784</v>
      </c>
    </row>
    <row r="810" spans="1:5" ht="19.5" customHeight="1">
      <c r="A810" s="166" t="s">
        <v>721</v>
      </c>
      <c r="B810" s="169"/>
      <c r="C810" s="278"/>
      <c r="D810" s="184"/>
      <c r="E810" s="285"/>
    </row>
    <row r="811" spans="1:5" ht="19.5" customHeight="1">
      <c r="A811" s="166" t="s">
        <v>722</v>
      </c>
      <c r="B811" s="167">
        <v>37113</v>
      </c>
      <c r="C811" s="278">
        <f>SUM(C812:C821)</f>
        <v>36891</v>
      </c>
      <c r="D811" s="184">
        <f t="shared" si="14"/>
        <v>0.99401826853124242</v>
      </c>
      <c r="E811" s="285">
        <f>C811/17056</f>
        <v>2.1629338649155723</v>
      </c>
    </row>
    <row r="812" spans="1:5" ht="19.5" customHeight="1">
      <c r="A812" s="168" t="s">
        <v>186</v>
      </c>
      <c r="B812" s="169"/>
      <c r="C812" s="278">
        <v>167</v>
      </c>
      <c r="D812" s="184"/>
      <c r="E812" s="285">
        <f>C812/130</f>
        <v>1.2846153846153847</v>
      </c>
    </row>
    <row r="813" spans="1:5" ht="19.5" customHeight="1">
      <c r="A813" s="170" t="s">
        <v>176</v>
      </c>
      <c r="B813" s="169"/>
      <c r="C813" s="278"/>
      <c r="D813" s="184"/>
      <c r="E813" s="285"/>
    </row>
    <row r="814" spans="1:5" ht="19.5" customHeight="1">
      <c r="A814" s="170" t="s">
        <v>177</v>
      </c>
      <c r="B814" s="169"/>
      <c r="C814" s="278"/>
      <c r="D814" s="184"/>
      <c r="E814" s="285"/>
    </row>
    <row r="815" spans="1:5" ht="19.5" customHeight="1">
      <c r="A815" s="170" t="s">
        <v>723</v>
      </c>
      <c r="B815" s="169"/>
      <c r="C815" s="278">
        <v>3236</v>
      </c>
      <c r="D815" s="184"/>
      <c r="E815" s="285">
        <f>C815/10215</f>
        <v>0.31678903573176703</v>
      </c>
    </row>
    <row r="816" spans="1:5" ht="19.5" customHeight="1">
      <c r="A816" s="170" t="s">
        <v>724</v>
      </c>
      <c r="B816" s="169"/>
      <c r="C816" s="278">
        <v>5645</v>
      </c>
      <c r="D816" s="184"/>
      <c r="E816" s="285"/>
    </row>
    <row r="817" spans="1:5" ht="19.5" customHeight="1">
      <c r="A817" s="170" t="s">
        <v>725</v>
      </c>
      <c r="B817" s="169"/>
      <c r="C817" s="278"/>
      <c r="D817" s="184"/>
      <c r="E817" s="285"/>
    </row>
    <row r="818" spans="1:5" ht="19.5" customHeight="1">
      <c r="A818" s="170" t="s">
        <v>726</v>
      </c>
      <c r="B818" s="169"/>
      <c r="C818" s="278">
        <v>285</v>
      </c>
      <c r="D818" s="184"/>
      <c r="E818" s="285">
        <f>C818/691</f>
        <v>0.41244573082489144</v>
      </c>
    </row>
    <row r="819" spans="1:5" ht="19.5" customHeight="1">
      <c r="A819" s="170" t="s">
        <v>727</v>
      </c>
      <c r="B819" s="169"/>
      <c r="C819" s="278"/>
      <c r="D819" s="184"/>
      <c r="E819" s="285"/>
    </row>
    <row r="820" spans="1:5" ht="19.5" customHeight="1">
      <c r="A820" s="170" t="s">
        <v>728</v>
      </c>
      <c r="B820" s="169"/>
      <c r="C820" s="278"/>
      <c r="D820" s="184"/>
      <c r="E820" s="285"/>
    </row>
    <row r="821" spans="1:5" ht="19.5" customHeight="1">
      <c r="A821" s="170" t="s">
        <v>729</v>
      </c>
      <c r="B821" s="169"/>
      <c r="C821" s="278">
        <v>27558</v>
      </c>
      <c r="D821" s="184"/>
      <c r="E821" s="285">
        <f>C821/6020</f>
        <v>4.5777408637873753</v>
      </c>
    </row>
    <row r="822" spans="1:5" ht="19.5" customHeight="1">
      <c r="A822" s="166" t="s">
        <v>730</v>
      </c>
      <c r="B822" s="167"/>
      <c r="C822" s="278"/>
      <c r="D822" s="184"/>
      <c r="E822" s="285"/>
    </row>
    <row r="823" spans="1:5" ht="19.5" customHeight="1">
      <c r="A823" s="168" t="s">
        <v>345</v>
      </c>
      <c r="B823" s="169"/>
      <c r="C823" s="278"/>
      <c r="D823" s="184"/>
      <c r="E823" s="285"/>
    </row>
    <row r="824" spans="1:5" ht="19.5" customHeight="1">
      <c r="A824" s="170" t="s">
        <v>731</v>
      </c>
      <c r="B824" s="169"/>
      <c r="C824" s="278"/>
      <c r="D824" s="184"/>
      <c r="E824" s="285"/>
    </row>
    <row r="825" spans="1:5" ht="19.5" customHeight="1">
      <c r="A825" s="170" t="s">
        <v>732</v>
      </c>
      <c r="B825" s="169"/>
      <c r="C825" s="278"/>
      <c r="D825" s="184"/>
      <c r="E825" s="285"/>
    </row>
    <row r="826" spans="1:5" ht="19.5" customHeight="1">
      <c r="A826" s="170" t="s">
        <v>733</v>
      </c>
      <c r="B826" s="169"/>
      <c r="C826" s="278"/>
      <c r="D826" s="184"/>
      <c r="E826" s="285"/>
    </row>
    <row r="827" spans="1:5" ht="19.5" customHeight="1">
      <c r="A827" s="170" t="s">
        <v>734</v>
      </c>
      <c r="B827" s="169"/>
      <c r="C827" s="278"/>
      <c r="D827" s="184"/>
      <c r="E827" s="285"/>
    </row>
    <row r="828" spans="1:5" ht="19.5" customHeight="1">
      <c r="A828" s="166" t="s">
        <v>735</v>
      </c>
      <c r="B828" s="167">
        <v>1459</v>
      </c>
      <c r="C828" s="278">
        <f>SUM(C829:C834)</f>
        <v>1459</v>
      </c>
      <c r="D828" s="184">
        <f t="shared" si="14"/>
        <v>1</v>
      </c>
      <c r="E828" s="285">
        <f>C828/2440</f>
        <v>0.59795081967213115</v>
      </c>
    </row>
    <row r="829" spans="1:5" ht="19.5" customHeight="1">
      <c r="A829" s="168" t="s">
        <v>736</v>
      </c>
      <c r="B829" s="169"/>
      <c r="C829" s="278">
        <v>836</v>
      </c>
      <c r="D829" s="184"/>
      <c r="E829" s="285">
        <f>C829/1698</f>
        <v>0.49234393404004712</v>
      </c>
    </row>
    <row r="830" spans="1:5" ht="19.5" customHeight="1">
      <c r="A830" s="170" t="s">
        <v>737</v>
      </c>
      <c r="B830" s="169"/>
      <c r="C830" s="278"/>
      <c r="D830" s="184"/>
      <c r="E830" s="285"/>
    </row>
    <row r="831" spans="1:5" ht="19.5" customHeight="1">
      <c r="A831" s="170" t="s">
        <v>738</v>
      </c>
      <c r="B831" s="169"/>
      <c r="C831" s="278">
        <v>623</v>
      </c>
      <c r="D831" s="184"/>
      <c r="E831" s="285">
        <f>C831/592</f>
        <v>1.0523648648648649</v>
      </c>
    </row>
    <row r="832" spans="1:5" ht="19.5" customHeight="1">
      <c r="A832" s="170" t="s">
        <v>739</v>
      </c>
      <c r="B832" s="169"/>
      <c r="C832" s="278"/>
      <c r="D832" s="184"/>
      <c r="E832" s="285"/>
    </row>
    <row r="833" spans="1:6" ht="19.5" customHeight="1">
      <c r="A833" s="170" t="s">
        <v>740</v>
      </c>
      <c r="B833" s="169"/>
      <c r="C833" s="278"/>
      <c r="D833" s="184"/>
      <c r="E833" s="285"/>
    </row>
    <row r="834" spans="1:6" ht="19.5" customHeight="1">
      <c r="A834" s="170" t="s">
        <v>741</v>
      </c>
      <c r="B834" s="169"/>
      <c r="C834" s="278"/>
      <c r="D834" s="184"/>
      <c r="E834" s="285">
        <f>C834/150</f>
        <v>0</v>
      </c>
    </row>
    <row r="835" spans="1:6" ht="19.5" customHeight="1">
      <c r="A835" s="166" t="s">
        <v>742</v>
      </c>
      <c r="B835" s="167">
        <v>7107</v>
      </c>
      <c r="C835" s="278">
        <f>SUM(C836:C838)</f>
        <v>6947</v>
      </c>
      <c r="D835" s="184">
        <f t="shared" si="14"/>
        <v>0.97748698466300832</v>
      </c>
      <c r="E835" s="285">
        <f>C835/6978</f>
        <v>0.99555746632272857</v>
      </c>
    </row>
    <row r="836" spans="1:6" ht="19.5" customHeight="1">
      <c r="A836" s="168" t="s">
        <v>743</v>
      </c>
      <c r="B836" s="169"/>
      <c r="C836" s="278"/>
      <c r="D836" s="184"/>
      <c r="E836" s="285"/>
    </row>
    <row r="837" spans="1:6" ht="19.5" customHeight="1">
      <c r="A837" s="170" t="s">
        <v>744</v>
      </c>
      <c r="B837" s="169"/>
      <c r="C837" s="278"/>
      <c r="D837" s="184"/>
      <c r="E837" s="285"/>
    </row>
    <row r="838" spans="1:6" ht="19.5" customHeight="1">
      <c r="A838" s="170" t="s">
        <v>745</v>
      </c>
      <c r="B838" s="169"/>
      <c r="C838" s="278">
        <v>6947</v>
      </c>
      <c r="D838" s="184"/>
      <c r="E838" s="285">
        <f>C838/6978</f>
        <v>0.99555746632272857</v>
      </c>
    </row>
    <row r="839" spans="1:6" ht="19.5" customHeight="1">
      <c r="A839" s="166" t="s">
        <v>746</v>
      </c>
      <c r="B839" s="167"/>
      <c r="C839" s="278"/>
      <c r="D839" s="184"/>
      <c r="E839" s="285"/>
    </row>
    <row r="840" spans="1:6" ht="19.5" customHeight="1">
      <c r="A840" s="166" t="s">
        <v>747</v>
      </c>
      <c r="B840" s="167">
        <v>539</v>
      </c>
      <c r="C840" s="278">
        <f>SUM(C841:C842)</f>
        <v>539</v>
      </c>
      <c r="D840" s="184">
        <f t="shared" ref="D840:D844" si="15">C840/B840</f>
        <v>1</v>
      </c>
      <c r="E840" s="285">
        <f>C840/155</f>
        <v>3.4774193548387098</v>
      </c>
    </row>
    <row r="841" spans="1:6" ht="19.5" customHeight="1">
      <c r="A841" s="168" t="s">
        <v>748</v>
      </c>
      <c r="B841" s="169"/>
      <c r="C841" s="278"/>
      <c r="D841" s="184"/>
      <c r="E841" s="285"/>
    </row>
    <row r="842" spans="1:6" ht="19.5" customHeight="1">
      <c r="A842" s="170" t="s">
        <v>749</v>
      </c>
      <c r="B842" s="169"/>
      <c r="C842" s="278">
        <v>539</v>
      </c>
      <c r="D842" s="184"/>
      <c r="E842" s="285">
        <f>C842/155</f>
        <v>3.4774193548387098</v>
      </c>
    </row>
    <row r="843" spans="1:6" s="180" customFormat="1" ht="19.5" customHeight="1">
      <c r="A843" s="172" t="s">
        <v>750</v>
      </c>
      <c r="B843" s="177">
        <f>B844+B893+B902</f>
        <v>5149</v>
      </c>
      <c r="C843" s="277">
        <f>C844+C893+C902</f>
        <v>5149</v>
      </c>
      <c r="D843" s="181">
        <f t="shared" si="15"/>
        <v>1</v>
      </c>
      <c r="E843" s="284">
        <f>C843/9915</f>
        <v>0.51931417044881489</v>
      </c>
      <c r="F843" s="178"/>
    </row>
    <row r="844" spans="1:6" ht="19.5" customHeight="1">
      <c r="A844" s="166" t="s">
        <v>751</v>
      </c>
      <c r="B844" s="167">
        <v>3678</v>
      </c>
      <c r="C844" s="278">
        <f>SUM(C845:C872)</f>
        <v>3678</v>
      </c>
      <c r="D844" s="184">
        <f t="shared" si="15"/>
        <v>1</v>
      </c>
      <c r="E844" s="285">
        <f>C844/2589</f>
        <v>1.4206257242178448</v>
      </c>
    </row>
    <row r="845" spans="1:6" ht="19.5" customHeight="1">
      <c r="A845" s="168" t="s">
        <v>186</v>
      </c>
      <c r="B845" s="169"/>
      <c r="C845" s="278">
        <v>346</v>
      </c>
      <c r="D845" s="184"/>
      <c r="E845" s="285">
        <f>C845/358</f>
        <v>0.96648044692737434</v>
      </c>
    </row>
    <row r="846" spans="1:6" ht="19.5" customHeight="1">
      <c r="A846" s="170" t="s">
        <v>176</v>
      </c>
      <c r="B846" s="169"/>
      <c r="C846" s="278">
        <v>163</v>
      </c>
      <c r="D846" s="184"/>
      <c r="E846" s="285">
        <f>C846/139</f>
        <v>1.1726618705035972</v>
      </c>
    </row>
    <row r="847" spans="1:6" ht="19.5" customHeight="1">
      <c r="A847" s="170" t="s">
        <v>177</v>
      </c>
      <c r="B847" s="169"/>
      <c r="C847" s="278"/>
      <c r="D847" s="184"/>
      <c r="E847" s="285"/>
    </row>
    <row r="848" spans="1:6" ht="19.5" customHeight="1">
      <c r="A848" s="170" t="s">
        <v>752</v>
      </c>
      <c r="B848" s="169"/>
      <c r="C848" s="278"/>
      <c r="D848" s="184"/>
      <c r="E848" s="285"/>
    </row>
    <row r="849" spans="1:5" ht="19.5" customHeight="1">
      <c r="A849" s="170" t="s">
        <v>753</v>
      </c>
      <c r="B849" s="169"/>
      <c r="C849" s="278"/>
      <c r="D849" s="184"/>
      <c r="E849" s="285">
        <f>C849/1653</f>
        <v>0</v>
      </c>
    </row>
    <row r="850" spans="1:5" ht="19.5" customHeight="1">
      <c r="A850" s="170" t="s">
        <v>754</v>
      </c>
      <c r="B850" s="169"/>
      <c r="C850" s="278">
        <v>419</v>
      </c>
      <c r="D850" s="184"/>
      <c r="E850" s="285">
        <f>C850/419</f>
        <v>1</v>
      </c>
    </row>
    <row r="851" spans="1:5" ht="19.5" customHeight="1">
      <c r="A851" s="170" t="s">
        <v>755</v>
      </c>
      <c r="B851" s="169"/>
      <c r="C851" s="278"/>
      <c r="D851" s="184"/>
      <c r="E851" s="285"/>
    </row>
    <row r="852" spans="1:5" ht="19.5" customHeight="1">
      <c r="A852" s="170" t="s">
        <v>756</v>
      </c>
      <c r="B852" s="169"/>
      <c r="C852" s="278"/>
      <c r="D852" s="184"/>
      <c r="E852" s="285"/>
    </row>
    <row r="853" spans="1:5" ht="19.5" customHeight="1">
      <c r="A853" s="170" t="s">
        <v>757</v>
      </c>
      <c r="B853" s="169"/>
      <c r="C853" s="278"/>
      <c r="D853" s="184"/>
      <c r="E853" s="285"/>
    </row>
    <row r="854" spans="1:5" ht="19.5" customHeight="1">
      <c r="A854" s="170" t="s">
        <v>758</v>
      </c>
      <c r="B854" s="169"/>
      <c r="C854" s="278"/>
      <c r="D854" s="184"/>
      <c r="E854" s="285"/>
    </row>
    <row r="855" spans="1:5" ht="19.5" customHeight="1">
      <c r="A855" s="170" t="s">
        <v>759</v>
      </c>
      <c r="B855" s="169"/>
      <c r="C855" s="278"/>
      <c r="D855" s="184"/>
      <c r="E855" s="285"/>
    </row>
    <row r="856" spans="1:5" ht="19.5" customHeight="1">
      <c r="A856" s="170" t="s">
        <v>760</v>
      </c>
      <c r="B856" s="169"/>
      <c r="C856" s="278"/>
      <c r="D856" s="184"/>
      <c r="E856" s="285"/>
    </row>
    <row r="857" spans="1:5" ht="19.5" customHeight="1">
      <c r="A857" s="170" t="s">
        <v>761</v>
      </c>
      <c r="B857" s="169"/>
      <c r="C857" s="278"/>
      <c r="D857" s="184"/>
      <c r="E857" s="285"/>
    </row>
    <row r="858" spans="1:5" ht="19.5" customHeight="1">
      <c r="A858" s="170" t="s">
        <v>762</v>
      </c>
      <c r="B858" s="169"/>
      <c r="C858" s="278"/>
      <c r="D858" s="184"/>
      <c r="E858" s="285"/>
    </row>
    <row r="859" spans="1:5" ht="19.5" customHeight="1">
      <c r="A859" s="170" t="s">
        <v>763</v>
      </c>
      <c r="B859" s="169"/>
      <c r="C859" s="278"/>
      <c r="D859" s="184"/>
      <c r="E859" s="285"/>
    </row>
    <row r="860" spans="1:5" ht="19.5" customHeight="1">
      <c r="A860" s="170" t="s">
        <v>764</v>
      </c>
      <c r="B860" s="169"/>
      <c r="C860" s="278"/>
      <c r="D860" s="184"/>
      <c r="E860" s="285"/>
    </row>
    <row r="861" spans="1:5" ht="19.5" customHeight="1">
      <c r="A861" s="170" t="s">
        <v>765</v>
      </c>
      <c r="B861" s="169"/>
      <c r="C861" s="278"/>
      <c r="D861" s="184"/>
      <c r="E861" s="285"/>
    </row>
    <row r="862" spans="1:5" ht="19.5" customHeight="1">
      <c r="A862" s="170" t="s">
        <v>766</v>
      </c>
      <c r="B862" s="169"/>
      <c r="C862" s="278"/>
      <c r="D862" s="184"/>
      <c r="E862" s="285"/>
    </row>
    <row r="863" spans="1:5" ht="19.5" customHeight="1">
      <c r="A863" s="170" t="s">
        <v>767</v>
      </c>
      <c r="B863" s="169"/>
      <c r="C863" s="278"/>
      <c r="D863" s="184"/>
      <c r="E863" s="285"/>
    </row>
    <row r="864" spans="1:5" ht="19.5" customHeight="1">
      <c r="A864" s="170" t="s">
        <v>768</v>
      </c>
      <c r="B864" s="169"/>
      <c r="C864" s="278"/>
      <c r="D864" s="184"/>
      <c r="E864" s="285"/>
    </row>
    <row r="865" spans="1:5" ht="19.5" customHeight="1">
      <c r="A865" s="170" t="s">
        <v>769</v>
      </c>
      <c r="B865" s="169"/>
      <c r="C865" s="278"/>
      <c r="D865" s="184"/>
      <c r="E865" s="285"/>
    </row>
    <row r="866" spans="1:5" ht="19.5" customHeight="1">
      <c r="A866" s="170" t="s">
        <v>770</v>
      </c>
      <c r="B866" s="169"/>
      <c r="C866" s="278"/>
      <c r="D866" s="184"/>
      <c r="E866" s="285"/>
    </row>
    <row r="867" spans="1:5" ht="19.5" customHeight="1">
      <c r="A867" s="170" t="s">
        <v>771</v>
      </c>
      <c r="B867" s="169"/>
      <c r="C867" s="278"/>
      <c r="D867" s="184"/>
      <c r="E867" s="285"/>
    </row>
    <row r="868" spans="1:5" ht="19.5" customHeight="1">
      <c r="A868" s="170" t="s">
        <v>772</v>
      </c>
      <c r="B868" s="169"/>
      <c r="C868" s="278"/>
      <c r="D868" s="184"/>
      <c r="E868" s="285"/>
    </row>
    <row r="869" spans="1:5" ht="19.5" customHeight="1">
      <c r="A869" s="170" t="s">
        <v>773</v>
      </c>
      <c r="B869" s="169"/>
      <c r="C869" s="278"/>
      <c r="D869" s="184"/>
      <c r="E869" s="285"/>
    </row>
    <row r="870" spans="1:5" ht="19.5" customHeight="1">
      <c r="A870" s="170" t="s">
        <v>774</v>
      </c>
      <c r="B870" s="169"/>
      <c r="C870" s="278"/>
      <c r="D870" s="184"/>
      <c r="E870" s="285"/>
    </row>
    <row r="871" spans="1:5" ht="19.5" customHeight="1">
      <c r="A871" s="170" t="s">
        <v>775</v>
      </c>
      <c r="B871" s="169"/>
      <c r="C871" s="278"/>
      <c r="D871" s="184"/>
      <c r="E871" s="285"/>
    </row>
    <row r="872" spans="1:5" ht="19.5" customHeight="1">
      <c r="A872" s="170" t="s">
        <v>776</v>
      </c>
      <c r="B872" s="169"/>
      <c r="C872" s="278">
        <v>2750</v>
      </c>
      <c r="D872" s="184"/>
      <c r="E872" s="285">
        <f>C872/20</f>
        <v>137.5</v>
      </c>
    </row>
    <row r="873" spans="1:5" ht="19.5" customHeight="1">
      <c r="A873" s="166" t="s">
        <v>777</v>
      </c>
      <c r="B873" s="167"/>
      <c r="C873" s="278"/>
      <c r="D873" s="184"/>
      <c r="E873" s="285"/>
    </row>
    <row r="874" spans="1:5" ht="19.5" customHeight="1">
      <c r="A874" s="168" t="s">
        <v>778</v>
      </c>
      <c r="B874" s="169"/>
      <c r="C874" s="278"/>
      <c r="D874" s="184"/>
      <c r="E874" s="285"/>
    </row>
    <row r="875" spans="1:5" ht="19.5" customHeight="1">
      <c r="A875" s="170" t="s">
        <v>176</v>
      </c>
      <c r="B875" s="169"/>
      <c r="C875" s="278"/>
      <c r="D875" s="184"/>
      <c r="E875" s="285"/>
    </row>
    <row r="876" spans="1:5" ht="19.5" customHeight="1">
      <c r="A876" s="170" t="s">
        <v>177</v>
      </c>
      <c r="B876" s="169"/>
      <c r="C876" s="278"/>
      <c r="D876" s="184"/>
      <c r="E876" s="285"/>
    </row>
    <row r="877" spans="1:5" ht="19.5" customHeight="1">
      <c r="A877" s="170" t="s">
        <v>779</v>
      </c>
      <c r="B877" s="169"/>
      <c r="C877" s="278"/>
      <c r="D877" s="184"/>
      <c r="E877" s="285"/>
    </row>
    <row r="878" spans="1:5" ht="19.5" customHeight="1">
      <c r="A878" s="170" t="s">
        <v>780</v>
      </c>
      <c r="B878" s="169"/>
      <c r="C878" s="278"/>
      <c r="D878" s="184"/>
      <c r="E878" s="285"/>
    </row>
    <row r="879" spans="1:5" ht="19.5" customHeight="1">
      <c r="A879" s="170" t="s">
        <v>781</v>
      </c>
      <c r="B879" s="169"/>
      <c r="C879" s="278"/>
      <c r="D879" s="184"/>
      <c r="E879" s="285"/>
    </row>
    <row r="880" spans="1:5" ht="19.5" customHeight="1">
      <c r="A880" s="170" t="s">
        <v>782</v>
      </c>
      <c r="B880" s="169"/>
      <c r="C880" s="278"/>
      <c r="D880" s="184"/>
      <c r="E880" s="285"/>
    </row>
    <row r="881" spans="1:5" ht="19.5" customHeight="1">
      <c r="A881" s="170" t="s">
        <v>783</v>
      </c>
      <c r="B881" s="169"/>
      <c r="C881" s="278"/>
      <c r="D881" s="184"/>
      <c r="E881" s="285"/>
    </row>
    <row r="882" spans="1:5" ht="19.5" customHeight="1">
      <c r="A882" s="170" t="s">
        <v>784</v>
      </c>
      <c r="B882" s="169"/>
      <c r="C882" s="278"/>
      <c r="D882" s="184"/>
      <c r="E882" s="285"/>
    </row>
    <row r="883" spans="1:5" ht="19.5" customHeight="1">
      <c r="A883" s="166" t="s">
        <v>785</v>
      </c>
      <c r="B883" s="167"/>
      <c r="C883" s="278"/>
      <c r="D883" s="184"/>
      <c r="E883" s="285"/>
    </row>
    <row r="884" spans="1:5" ht="19.5" customHeight="1">
      <c r="A884" s="168" t="s">
        <v>778</v>
      </c>
      <c r="B884" s="169"/>
      <c r="C884" s="278"/>
      <c r="D884" s="184"/>
      <c r="E884" s="285"/>
    </row>
    <row r="885" spans="1:5" ht="19.5" customHeight="1">
      <c r="A885" s="170" t="s">
        <v>176</v>
      </c>
      <c r="B885" s="169"/>
      <c r="C885" s="278"/>
      <c r="D885" s="184"/>
      <c r="E885" s="285"/>
    </row>
    <row r="886" spans="1:5" ht="19.5" customHeight="1">
      <c r="A886" s="170" t="s">
        <v>177</v>
      </c>
      <c r="B886" s="169"/>
      <c r="C886" s="278"/>
      <c r="D886" s="184"/>
      <c r="E886" s="285"/>
    </row>
    <row r="887" spans="1:5" ht="19.5" customHeight="1">
      <c r="A887" s="170" t="s">
        <v>786</v>
      </c>
      <c r="B887" s="169"/>
      <c r="C887" s="278"/>
      <c r="D887" s="184"/>
      <c r="E887" s="285"/>
    </row>
    <row r="888" spans="1:5" ht="19.5" customHeight="1">
      <c r="A888" s="170" t="s">
        <v>787</v>
      </c>
      <c r="B888" s="169"/>
      <c r="C888" s="278"/>
      <c r="D888" s="184"/>
      <c r="E888" s="285"/>
    </row>
    <row r="889" spans="1:5" ht="19.5" customHeight="1">
      <c r="A889" s="170" t="s">
        <v>788</v>
      </c>
      <c r="B889" s="169"/>
      <c r="C889" s="278"/>
      <c r="D889" s="184"/>
      <c r="E889" s="285"/>
    </row>
    <row r="890" spans="1:5" ht="19.5" customHeight="1">
      <c r="A890" s="170" t="s">
        <v>789</v>
      </c>
      <c r="B890" s="169"/>
      <c r="C890" s="278"/>
      <c r="D890" s="184"/>
      <c r="E890" s="285"/>
    </row>
    <row r="891" spans="1:5" ht="19.5" customHeight="1">
      <c r="A891" s="170" t="s">
        <v>790</v>
      </c>
      <c r="B891" s="169"/>
      <c r="C891" s="278"/>
      <c r="D891" s="184"/>
      <c r="E891" s="285"/>
    </row>
    <row r="892" spans="1:5" ht="19.5" customHeight="1">
      <c r="A892" s="170" t="s">
        <v>791</v>
      </c>
      <c r="B892" s="169"/>
      <c r="C892" s="278"/>
      <c r="D892" s="184"/>
      <c r="E892" s="285"/>
    </row>
    <row r="893" spans="1:5" ht="19.5" customHeight="1">
      <c r="A893" s="166" t="s">
        <v>792</v>
      </c>
      <c r="B893" s="167">
        <v>116</v>
      </c>
      <c r="C893" s="278">
        <f>SUM(C894:C895)</f>
        <v>116</v>
      </c>
      <c r="D893" s="184"/>
      <c r="E893" s="285">
        <f>C893/201</f>
        <v>0.57711442786069655</v>
      </c>
    </row>
    <row r="894" spans="1:5" ht="19.5" customHeight="1">
      <c r="A894" s="170" t="s">
        <v>1050</v>
      </c>
      <c r="B894" s="167"/>
      <c r="C894" s="278">
        <v>58</v>
      </c>
      <c r="D894" s="184"/>
      <c r="E894" s="285">
        <f>C894/100</f>
        <v>0.57999999999999996</v>
      </c>
    </row>
    <row r="895" spans="1:5" ht="19.5" customHeight="1">
      <c r="A895" s="170" t="s">
        <v>1051</v>
      </c>
      <c r="B895" s="167"/>
      <c r="C895" s="278">
        <v>58</v>
      </c>
      <c r="D895" s="184"/>
      <c r="E895" s="285">
        <f>C895/101</f>
        <v>0.57425742574257421</v>
      </c>
    </row>
    <row r="896" spans="1:5" ht="19.5" customHeight="1">
      <c r="A896" s="166" t="s">
        <v>793</v>
      </c>
      <c r="B896" s="167"/>
      <c r="C896" s="278"/>
      <c r="D896" s="184"/>
      <c r="E896" s="285"/>
    </row>
    <row r="897" spans="1:6" ht="19.5" customHeight="1">
      <c r="A897" s="168" t="s">
        <v>778</v>
      </c>
      <c r="B897" s="169"/>
      <c r="C897" s="278"/>
      <c r="D897" s="184"/>
      <c r="E897" s="285"/>
    </row>
    <row r="898" spans="1:6" ht="19.5" customHeight="1">
      <c r="A898" s="170" t="s">
        <v>176</v>
      </c>
      <c r="B898" s="169"/>
      <c r="C898" s="278"/>
      <c r="D898" s="184"/>
      <c r="E898" s="285"/>
    </row>
    <row r="899" spans="1:6" ht="19.5" customHeight="1">
      <c r="A899" s="170" t="s">
        <v>794</v>
      </c>
      <c r="B899" s="169"/>
      <c r="C899" s="278"/>
      <c r="D899" s="184"/>
      <c r="E899" s="285"/>
    </row>
    <row r="900" spans="1:6" ht="19.5" customHeight="1">
      <c r="A900" s="170" t="s">
        <v>795</v>
      </c>
      <c r="B900" s="169"/>
      <c r="C900" s="278"/>
      <c r="D900" s="184"/>
      <c r="E900" s="285"/>
    </row>
    <row r="901" spans="1:6" ht="19.5" customHeight="1">
      <c r="A901" s="170" t="s">
        <v>796</v>
      </c>
      <c r="B901" s="169"/>
      <c r="C901" s="278"/>
      <c r="D901" s="184"/>
      <c r="E901" s="285"/>
    </row>
    <row r="902" spans="1:6" ht="19.5" customHeight="1">
      <c r="A902" s="166" t="s">
        <v>797</v>
      </c>
      <c r="B902" s="167">
        <v>1355</v>
      </c>
      <c r="C902" s="278">
        <f>SUM(C903:C906)</f>
        <v>1355</v>
      </c>
      <c r="D902" s="184">
        <f t="shared" ref="D902:D965" si="16">C902/B902</f>
        <v>1</v>
      </c>
      <c r="E902" s="285">
        <f>C902/7125</f>
        <v>0.19017543859649122</v>
      </c>
    </row>
    <row r="903" spans="1:6" ht="19.5" customHeight="1">
      <c r="A903" s="168" t="s">
        <v>798</v>
      </c>
      <c r="B903" s="169"/>
      <c r="C903" s="278">
        <v>20</v>
      </c>
      <c r="D903" s="184"/>
      <c r="E903" s="285">
        <f>C903/5621</f>
        <v>3.5580857498665719E-3</v>
      </c>
    </row>
    <row r="904" spans="1:6" ht="19.5" customHeight="1">
      <c r="A904" s="170" t="s">
        <v>799</v>
      </c>
      <c r="B904" s="169"/>
      <c r="C904" s="278">
        <v>1335</v>
      </c>
      <c r="D904" s="184"/>
      <c r="E904" s="285">
        <f>C904/1504</f>
        <v>0.8876329787234043</v>
      </c>
    </row>
    <row r="905" spans="1:6" ht="19.5" customHeight="1">
      <c r="A905" s="170" t="s">
        <v>800</v>
      </c>
      <c r="B905" s="169"/>
      <c r="C905" s="278"/>
      <c r="D905" s="184"/>
      <c r="E905" s="285"/>
    </row>
    <row r="906" spans="1:6" ht="19.5" customHeight="1">
      <c r="A906" s="170" t="s">
        <v>801</v>
      </c>
      <c r="B906" s="169"/>
      <c r="C906" s="278"/>
      <c r="D906" s="184"/>
      <c r="E906" s="285"/>
    </row>
    <row r="907" spans="1:6" ht="19.5" customHeight="1">
      <c r="A907" s="166" t="s">
        <v>802</v>
      </c>
      <c r="B907" s="167"/>
      <c r="C907" s="278"/>
      <c r="D907" s="184"/>
      <c r="E907" s="285"/>
    </row>
    <row r="908" spans="1:6" ht="19.5" customHeight="1">
      <c r="A908" s="168" t="s">
        <v>803</v>
      </c>
      <c r="B908" s="169"/>
      <c r="C908" s="278"/>
      <c r="D908" s="184"/>
      <c r="E908" s="285"/>
    </row>
    <row r="909" spans="1:6" ht="19.5" customHeight="1">
      <c r="A909" s="170" t="s">
        <v>804</v>
      </c>
      <c r="B909" s="169"/>
      <c r="C909" s="278"/>
      <c r="D909" s="184"/>
      <c r="E909" s="285"/>
    </row>
    <row r="910" spans="1:6" s="180" customFormat="1" ht="19.5" customHeight="1">
      <c r="A910" s="172" t="s">
        <v>805</v>
      </c>
      <c r="B910" s="177">
        <f>B938+B950+B958+B964+B971</f>
        <v>486</v>
      </c>
      <c r="C910" s="277">
        <f>C938+C950+C958+C964+C971</f>
        <v>486</v>
      </c>
      <c r="D910" s="181">
        <f>C910/B910</f>
        <v>1</v>
      </c>
      <c r="E910" s="284">
        <f>C910/878</f>
        <v>0.55353075170842825</v>
      </c>
      <c r="F910" s="178"/>
    </row>
    <row r="911" spans="1:6" ht="19.5" customHeight="1">
      <c r="A911" s="166" t="s">
        <v>806</v>
      </c>
      <c r="B911" s="167"/>
      <c r="C911" s="278"/>
      <c r="D911" s="184"/>
      <c r="E911" s="285"/>
    </row>
    <row r="912" spans="1:6" ht="19.5" customHeight="1">
      <c r="A912" s="168" t="s">
        <v>186</v>
      </c>
      <c r="B912" s="169"/>
      <c r="C912" s="278"/>
      <c r="D912" s="184"/>
      <c r="E912" s="285"/>
    </row>
    <row r="913" spans="1:5" ht="19.5" customHeight="1">
      <c r="A913" s="170" t="s">
        <v>176</v>
      </c>
      <c r="B913" s="169"/>
      <c r="C913" s="278"/>
      <c r="D913" s="184"/>
      <c r="E913" s="285"/>
    </row>
    <row r="914" spans="1:5" ht="19.5" customHeight="1">
      <c r="A914" s="170" t="s">
        <v>177</v>
      </c>
      <c r="B914" s="169"/>
      <c r="C914" s="278"/>
      <c r="D914" s="184"/>
      <c r="E914" s="285"/>
    </row>
    <row r="915" spans="1:5" ht="19.5" customHeight="1">
      <c r="A915" s="170" t="s">
        <v>807</v>
      </c>
      <c r="B915" s="169"/>
      <c r="C915" s="278"/>
      <c r="D915" s="184"/>
      <c r="E915" s="285"/>
    </row>
    <row r="916" spans="1:5" ht="19.5" customHeight="1">
      <c r="A916" s="170" t="s">
        <v>808</v>
      </c>
      <c r="B916" s="169"/>
      <c r="C916" s="278"/>
      <c r="D916" s="184"/>
      <c r="E916" s="285"/>
    </row>
    <row r="917" spans="1:5" ht="19.5" customHeight="1">
      <c r="A917" s="170" t="s">
        <v>809</v>
      </c>
      <c r="B917" s="169"/>
      <c r="C917" s="278"/>
      <c r="D917" s="184"/>
      <c r="E917" s="285"/>
    </row>
    <row r="918" spans="1:5" ht="19.5" customHeight="1">
      <c r="A918" s="170" t="s">
        <v>810</v>
      </c>
      <c r="B918" s="169"/>
      <c r="C918" s="278"/>
      <c r="D918" s="184"/>
      <c r="E918" s="285"/>
    </row>
    <row r="919" spans="1:5" ht="19.5" customHeight="1">
      <c r="A919" s="170" t="s">
        <v>811</v>
      </c>
      <c r="B919" s="169"/>
      <c r="C919" s="278"/>
      <c r="D919" s="184"/>
      <c r="E919" s="285"/>
    </row>
    <row r="920" spans="1:5" ht="19.5" customHeight="1">
      <c r="A920" s="170" t="s">
        <v>812</v>
      </c>
      <c r="B920" s="169"/>
      <c r="C920" s="278"/>
      <c r="D920" s="184"/>
      <c r="E920" s="285"/>
    </row>
    <row r="921" spans="1:5" ht="19.5" customHeight="1">
      <c r="A921" s="166" t="s">
        <v>813</v>
      </c>
      <c r="B921" s="167"/>
      <c r="C921" s="278"/>
      <c r="D921" s="184"/>
      <c r="E921" s="285"/>
    </row>
    <row r="922" spans="1:5" ht="19.5" customHeight="1">
      <c r="A922" s="168" t="s">
        <v>186</v>
      </c>
      <c r="B922" s="169"/>
      <c r="C922" s="278"/>
      <c r="D922" s="184"/>
      <c r="E922" s="285"/>
    </row>
    <row r="923" spans="1:5" ht="19.5" customHeight="1">
      <c r="A923" s="170" t="s">
        <v>176</v>
      </c>
      <c r="B923" s="169"/>
      <c r="C923" s="278"/>
      <c r="D923" s="184"/>
      <c r="E923" s="285"/>
    </row>
    <row r="924" spans="1:5" ht="19.5" customHeight="1">
      <c r="A924" s="170" t="s">
        <v>177</v>
      </c>
      <c r="B924" s="169"/>
      <c r="C924" s="278"/>
      <c r="D924" s="184"/>
      <c r="E924" s="285"/>
    </row>
    <row r="925" spans="1:5" ht="19.5" customHeight="1">
      <c r="A925" s="170" t="s">
        <v>814</v>
      </c>
      <c r="B925" s="169"/>
      <c r="C925" s="278"/>
      <c r="D925" s="184"/>
      <c r="E925" s="285"/>
    </row>
    <row r="926" spans="1:5" ht="19.5" customHeight="1">
      <c r="A926" s="170" t="s">
        <v>815</v>
      </c>
      <c r="B926" s="169"/>
      <c r="C926" s="278"/>
      <c r="D926" s="184"/>
      <c r="E926" s="285"/>
    </row>
    <row r="927" spans="1:5" ht="19.5" customHeight="1">
      <c r="A927" s="170" t="s">
        <v>816</v>
      </c>
      <c r="B927" s="169"/>
      <c r="C927" s="278"/>
      <c r="D927" s="184"/>
      <c r="E927" s="285"/>
    </row>
    <row r="928" spans="1:5" ht="19.5" customHeight="1">
      <c r="A928" s="170" t="s">
        <v>817</v>
      </c>
      <c r="B928" s="169"/>
      <c r="C928" s="278"/>
      <c r="D928" s="184"/>
      <c r="E928" s="285"/>
    </row>
    <row r="929" spans="1:5" ht="19.5" customHeight="1">
      <c r="A929" s="170" t="s">
        <v>818</v>
      </c>
      <c r="B929" s="169"/>
      <c r="C929" s="278"/>
      <c r="D929" s="184"/>
      <c r="E929" s="285"/>
    </row>
    <row r="930" spans="1:5" ht="19.5" customHeight="1">
      <c r="A930" s="170" t="s">
        <v>819</v>
      </c>
      <c r="B930" s="169"/>
      <c r="C930" s="278"/>
      <c r="D930" s="184"/>
      <c r="E930" s="285"/>
    </row>
    <row r="931" spans="1:5" ht="19.5" customHeight="1">
      <c r="A931" s="170" t="s">
        <v>820</v>
      </c>
      <c r="B931" s="169"/>
      <c r="C931" s="278"/>
      <c r="D931" s="184"/>
      <c r="E931" s="285"/>
    </row>
    <row r="932" spans="1:5" ht="19.5" customHeight="1">
      <c r="A932" s="170" t="s">
        <v>821</v>
      </c>
      <c r="B932" s="169"/>
      <c r="C932" s="278"/>
      <c r="D932" s="184"/>
      <c r="E932" s="285"/>
    </row>
    <row r="933" spans="1:5" ht="19.5" customHeight="1">
      <c r="A933" s="170" t="s">
        <v>822</v>
      </c>
      <c r="B933" s="169"/>
      <c r="C933" s="278"/>
      <c r="D933" s="184"/>
      <c r="E933" s="285"/>
    </row>
    <row r="934" spans="1:5" ht="19.5" customHeight="1">
      <c r="A934" s="170" t="s">
        <v>823</v>
      </c>
      <c r="B934" s="169"/>
      <c r="C934" s="278"/>
      <c r="D934" s="184"/>
      <c r="E934" s="285"/>
    </row>
    <row r="935" spans="1:5" ht="19.5" customHeight="1">
      <c r="A935" s="170" t="s">
        <v>824</v>
      </c>
      <c r="B935" s="169"/>
      <c r="C935" s="278"/>
      <c r="D935" s="184"/>
      <c r="E935" s="285"/>
    </row>
    <row r="936" spans="1:5" ht="19.5" customHeight="1">
      <c r="A936" s="170" t="s">
        <v>825</v>
      </c>
      <c r="B936" s="169"/>
      <c r="C936" s="278"/>
      <c r="D936" s="184"/>
      <c r="E936" s="285"/>
    </row>
    <row r="937" spans="1:5" ht="19.5" customHeight="1">
      <c r="A937" s="166" t="s">
        <v>826</v>
      </c>
      <c r="B937" s="169"/>
      <c r="C937" s="278"/>
      <c r="D937" s="184"/>
      <c r="E937" s="285"/>
    </row>
    <row r="938" spans="1:5" ht="19.5" customHeight="1">
      <c r="A938" s="166" t="s">
        <v>827</v>
      </c>
      <c r="B938" s="167"/>
      <c r="C938" s="278">
        <f>SUM(C939:C949)</f>
        <v>0</v>
      </c>
      <c r="D938" s="184"/>
      <c r="E938" s="285"/>
    </row>
    <row r="939" spans="1:5" ht="19.5" customHeight="1">
      <c r="A939" s="168" t="s">
        <v>186</v>
      </c>
      <c r="B939" s="169"/>
      <c r="C939" s="278"/>
      <c r="D939" s="184"/>
      <c r="E939" s="285"/>
    </row>
    <row r="940" spans="1:5" ht="19.5" customHeight="1">
      <c r="A940" s="170" t="s">
        <v>176</v>
      </c>
      <c r="B940" s="169"/>
      <c r="C940" s="278"/>
      <c r="D940" s="184"/>
      <c r="E940" s="285"/>
    </row>
    <row r="941" spans="1:5" ht="19.5" customHeight="1">
      <c r="A941" s="170" t="s">
        <v>177</v>
      </c>
      <c r="B941" s="169"/>
      <c r="C941" s="278"/>
      <c r="D941" s="184"/>
      <c r="E941" s="285"/>
    </row>
    <row r="942" spans="1:5" ht="19.5" customHeight="1">
      <c r="A942" s="170" t="s">
        <v>828</v>
      </c>
      <c r="B942" s="169"/>
      <c r="C942" s="278"/>
      <c r="D942" s="184"/>
      <c r="E942" s="285"/>
    </row>
    <row r="943" spans="1:5" ht="19.5" customHeight="1">
      <c r="A943" s="170" t="s">
        <v>829</v>
      </c>
      <c r="B943" s="169"/>
      <c r="C943" s="278"/>
      <c r="D943" s="184"/>
      <c r="E943" s="285"/>
    </row>
    <row r="944" spans="1:5" ht="19.5" customHeight="1">
      <c r="A944" s="170" t="s">
        <v>830</v>
      </c>
      <c r="B944" s="169"/>
      <c r="C944" s="278"/>
      <c r="D944" s="184"/>
      <c r="E944" s="285"/>
    </row>
    <row r="945" spans="1:5" ht="19.5" customHeight="1">
      <c r="A945" s="170" t="s">
        <v>831</v>
      </c>
      <c r="B945" s="169"/>
      <c r="C945" s="278"/>
      <c r="D945" s="184"/>
      <c r="E945" s="285"/>
    </row>
    <row r="946" spans="1:5" ht="19.5" customHeight="1">
      <c r="A946" s="170" t="s">
        <v>832</v>
      </c>
      <c r="B946" s="169"/>
      <c r="C946" s="278"/>
      <c r="D946" s="184"/>
      <c r="E946" s="285"/>
    </row>
    <row r="947" spans="1:5" ht="19.5" customHeight="1">
      <c r="A947" s="170" t="s">
        <v>794</v>
      </c>
      <c r="B947" s="169"/>
      <c r="C947" s="278"/>
      <c r="D947" s="184"/>
      <c r="E947" s="285"/>
    </row>
    <row r="948" spans="1:5" ht="19.5" customHeight="1">
      <c r="A948" s="170" t="s">
        <v>833</v>
      </c>
      <c r="B948" s="169"/>
      <c r="C948" s="278"/>
      <c r="D948" s="184"/>
      <c r="E948" s="285"/>
    </row>
    <row r="949" spans="1:5" ht="19.5" customHeight="1">
      <c r="A949" s="170" t="s">
        <v>834</v>
      </c>
      <c r="B949" s="169"/>
      <c r="C949" s="278"/>
      <c r="D949" s="184"/>
      <c r="E949" s="285"/>
    </row>
    <row r="950" spans="1:5" ht="19.5" customHeight="1">
      <c r="A950" s="166" t="s">
        <v>835</v>
      </c>
      <c r="B950" s="167">
        <v>231</v>
      </c>
      <c r="C950" s="278">
        <f>SUM(C951:C957)</f>
        <v>231</v>
      </c>
      <c r="D950" s="184">
        <f t="shared" si="16"/>
        <v>1</v>
      </c>
      <c r="E950" s="285">
        <f>C950/215</f>
        <v>1.0744186046511628</v>
      </c>
    </row>
    <row r="951" spans="1:5" ht="19.5" customHeight="1">
      <c r="A951" s="168" t="s">
        <v>186</v>
      </c>
      <c r="B951" s="169"/>
      <c r="C951" s="278">
        <v>231</v>
      </c>
      <c r="D951" s="184"/>
      <c r="E951" s="285">
        <f>C951/215</f>
        <v>1.0744186046511628</v>
      </c>
    </row>
    <row r="952" spans="1:5" ht="19.5" customHeight="1">
      <c r="A952" s="170" t="s">
        <v>176</v>
      </c>
      <c r="B952" s="169"/>
      <c r="C952" s="278"/>
      <c r="D952" s="184"/>
      <c r="E952" s="285"/>
    </row>
    <row r="953" spans="1:5" ht="19.5" customHeight="1">
      <c r="A953" s="170" t="s">
        <v>177</v>
      </c>
      <c r="B953" s="169"/>
      <c r="C953" s="278"/>
      <c r="D953" s="184"/>
      <c r="E953" s="285"/>
    </row>
    <row r="954" spans="1:5" ht="19.5" customHeight="1">
      <c r="A954" s="170" t="s">
        <v>836</v>
      </c>
      <c r="B954" s="169"/>
      <c r="C954" s="278"/>
      <c r="D954" s="184"/>
      <c r="E954" s="285"/>
    </row>
    <row r="955" spans="1:5" ht="19.5" customHeight="1">
      <c r="A955" s="170" t="s">
        <v>837</v>
      </c>
      <c r="B955" s="169"/>
      <c r="C955" s="278"/>
      <c r="D955" s="184"/>
      <c r="E955" s="285"/>
    </row>
    <row r="956" spans="1:5" ht="19.5" customHeight="1">
      <c r="A956" s="170" t="s">
        <v>838</v>
      </c>
      <c r="B956" s="169"/>
      <c r="C956" s="278"/>
      <c r="D956" s="184"/>
      <c r="E956" s="285"/>
    </row>
    <row r="957" spans="1:5" ht="19.5" customHeight="1">
      <c r="A957" s="170" t="s">
        <v>839</v>
      </c>
      <c r="B957" s="169"/>
      <c r="C957" s="278"/>
      <c r="D957" s="184"/>
      <c r="E957" s="285"/>
    </row>
    <row r="958" spans="1:5" ht="19.5" customHeight="1">
      <c r="A958" s="166" t="s">
        <v>840</v>
      </c>
      <c r="B958" s="167">
        <v>214</v>
      </c>
      <c r="C958" s="278">
        <f>SUM(C959:C963)</f>
        <v>214</v>
      </c>
      <c r="D958" s="184">
        <f t="shared" si="16"/>
        <v>1</v>
      </c>
      <c r="E958" s="285">
        <f>C958/365</f>
        <v>0.58630136986301373</v>
      </c>
    </row>
    <row r="959" spans="1:5" ht="19.5" customHeight="1">
      <c r="A959" s="168" t="s">
        <v>186</v>
      </c>
      <c r="B959" s="169"/>
      <c r="C959" s="278">
        <v>214</v>
      </c>
      <c r="D959" s="184"/>
      <c r="E959" s="285">
        <f>C959/365</f>
        <v>0.58630136986301373</v>
      </c>
    </row>
    <row r="960" spans="1:5" ht="19.5" customHeight="1">
      <c r="A960" s="170" t="s">
        <v>176</v>
      </c>
      <c r="B960" s="169"/>
      <c r="C960" s="278"/>
      <c r="D960" s="184"/>
      <c r="E960" s="285"/>
    </row>
    <row r="961" spans="1:5" ht="19.5" customHeight="1">
      <c r="A961" s="170" t="s">
        <v>177</v>
      </c>
      <c r="B961" s="169"/>
      <c r="C961" s="278"/>
      <c r="D961" s="184"/>
      <c r="E961" s="285"/>
    </row>
    <row r="962" spans="1:5" ht="19.5" customHeight="1">
      <c r="A962" s="170" t="s">
        <v>841</v>
      </c>
      <c r="B962" s="169"/>
      <c r="C962" s="278"/>
      <c r="D962" s="184"/>
      <c r="E962" s="285"/>
    </row>
    <row r="963" spans="1:5" ht="19.5" customHeight="1">
      <c r="A963" s="170" t="s">
        <v>842</v>
      </c>
      <c r="B963" s="169"/>
      <c r="C963" s="278"/>
      <c r="D963" s="184"/>
      <c r="E963" s="285"/>
    </row>
    <row r="964" spans="1:5" ht="19.5" customHeight="1">
      <c r="A964" s="166" t="s">
        <v>843</v>
      </c>
      <c r="B964" s="167">
        <v>40</v>
      </c>
      <c r="C964" s="278">
        <f>SUM(C965:C970)</f>
        <v>40</v>
      </c>
      <c r="D964" s="184">
        <f t="shared" si="16"/>
        <v>1</v>
      </c>
      <c r="E964" s="285">
        <f>C964/98</f>
        <v>0.40816326530612246</v>
      </c>
    </row>
    <row r="965" spans="1:5" ht="19.5" customHeight="1">
      <c r="A965" s="170" t="s">
        <v>186</v>
      </c>
      <c r="B965" s="169"/>
      <c r="C965" s="278"/>
      <c r="D965" s="184"/>
      <c r="E965" s="285"/>
    </row>
    <row r="966" spans="1:5" ht="19.5" customHeight="1">
      <c r="A966" s="170" t="s">
        <v>176</v>
      </c>
      <c r="B966" s="169"/>
      <c r="C966" s="278"/>
      <c r="D966" s="184"/>
      <c r="E966" s="285"/>
    </row>
    <row r="967" spans="1:5" ht="19.5" customHeight="1">
      <c r="A967" s="170" t="s">
        <v>177</v>
      </c>
      <c r="B967" s="169"/>
      <c r="C967" s="278"/>
      <c r="D967" s="184"/>
      <c r="E967" s="285"/>
    </row>
    <row r="968" spans="1:5" ht="19.5" customHeight="1">
      <c r="A968" s="170" t="s">
        <v>844</v>
      </c>
      <c r="B968" s="169"/>
      <c r="C968" s="278"/>
      <c r="D968" s="184"/>
      <c r="E968" s="285"/>
    </row>
    <row r="969" spans="1:5" ht="19.5" customHeight="1">
      <c r="A969" s="170" t="s">
        <v>845</v>
      </c>
      <c r="B969" s="169"/>
      <c r="C969" s="278">
        <v>40</v>
      </c>
      <c r="D969" s="184"/>
      <c r="E969" s="285">
        <f>C969/80</f>
        <v>0.5</v>
      </c>
    </row>
    <row r="970" spans="1:5" ht="19.5" customHeight="1">
      <c r="A970" s="170" t="s">
        <v>846</v>
      </c>
      <c r="B970" s="169"/>
      <c r="C970" s="278"/>
      <c r="D970" s="184"/>
      <c r="E970" s="285"/>
    </row>
    <row r="971" spans="1:5" ht="19.5" customHeight="1">
      <c r="A971" s="166" t="s">
        <v>847</v>
      </c>
      <c r="B971" s="167">
        <v>1</v>
      </c>
      <c r="C971" s="278">
        <f>SUM(C972:C977)</f>
        <v>1</v>
      </c>
      <c r="D971" s="184">
        <f t="shared" ref="D966:D971" si="17">C971/B971</f>
        <v>1</v>
      </c>
      <c r="E971" s="285"/>
    </row>
    <row r="972" spans="1:5" ht="19.5" customHeight="1">
      <c r="A972" s="168" t="s">
        <v>848</v>
      </c>
      <c r="B972" s="169"/>
      <c r="C972" s="278"/>
      <c r="D972" s="184"/>
      <c r="E972" s="285"/>
    </row>
    <row r="973" spans="1:5" ht="19.5" customHeight="1">
      <c r="A973" s="170" t="s">
        <v>849</v>
      </c>
      <c r="B973" s="169"/>
      <c r="C973" s="278"/>
      <c r="D973" s="184"/>
      <c r="E973" s="285"/>
    </row>
    <row r="974" spans="1:5" ht="19.5" customHeight="1">
      <c r="A974" s="170" t="s">
        <v>850</v>
      </c>
      <c r="B974" s="169"/>
      <c r="C974" s="278"/>
      <c r="D974" s="184"/>
      <c r="E974" s="285"/>
    </row>
    <row r="975" spans="1:5" ht="19.5" customHeight="1">
      <c r="A975" s="170" t="s">
        <v>851</v>
      </c>
      <c r="B975" s="169"/>
      <c r="C975" s="278"/>
      <c r="D975" s="184"/>
      <c r="E975" s="285"/>
    </row>
    <row r="976" spans="1:5" ht="19.5" customHeight="1">
      <c r="A976" s="170" t="s">
        <v>852</v>
      </c>
      <c r="B976" s="169"/>
      <c r="C976" s="278"/>
      <c r="D976" s="184"/>
      <c r="E976" s="285"/>
    </row>
    <row r="977" spans="1:6" ht="19.5" customHeight="1">
      <c r="A977" s="170" t="s">
        <v>853</v>
      </c>
      <c r="B977" s="169"/>
      <c r="C977" s="278">
        <v>1</v>
      </c>
      <c r="D977" s="184"/>
      <c r="E977" s="285"/>
    </row>
    <row r="978" spans="1:6" s="180" customFormat="1" ht="19.5" customHeight="1">
      <c r="A978" s="172" t="s">
        <v>854</v>
      </c>
      <c r="B978" s="177">
        <f>B979+B989+B996+B1002</f>
        <v>3052</v>
      </c>
      <c r="C978" s="277">
        <f>C979+C989+C996+C1002</f>
        <v>2967</v>
      </c>
      <c r="D978" s="181">
        <f t="shared" ref="D978:D1013" si="18">C978/B978</f>
        <v>0.97214941022280477</v>
      </c>
      <c r="E978" s="284">
        <f>C978/3620</f>
        <v>0.81961325966850829</v>
      </c>
      <c r="F978" s="178"/>
    </row>
    <row r="979" spans="1:6" ht="19.5" customHeight="1">
      <c r="A979" s="166" t="s">
        <v>855</v>
      </c>
      <c r="B979" s="167">
        <v>213</v>
      </c>
      <c r="C979" s="278">
        <f>SUM(C980:C988)</f>
        <v>213</v>
      </c>
      <c r="D979" s="184">
        <f t="shared" si="18"/>
        <v>1</v>
      </c>
      <c r="E979" s="285">
        <f>C979/225</f>
        <v>0.94666666666666666</v>
      </c>
    </row>
    <row r="980" spans="1:6" ht="19.5" customHeight="1">
      <c r="A980" s="168" t="s">
        <v>186</v>
      </c>
      <c r="B980" s="169"/>
      <c r="C980" s="278">
        <v>93</v>
      </c>
      <c r="D980" s="184"/>
      <c r="E980" s="285">
        <f>C980/139</f>
        <v>0.6690647482014388</v>
      </c>
    </row>
    <row r="981" spans="1:6" ht="19.5" customHeight="1">
      <c r="A981" s="170" t="s">
        <v>176</v>
      </c>
      <c r="B981" s="169"/>
      <c r="C981" s="278"/>
      <c r="D981" s="184"/>
      <c r="E981" s="285"/>
    </row>
    <row r="982" spans="1:6" ht="19.5" customHeight="1">
      <c r="A982" s="170" t="s">
        <v>177</v>
      </c>
      <c r="B982" s="169"/>
      <c r="C982" s="278"/>
      <c r="D982" s="184"/>
      <c r="E982" s="285"/>
    </row>
    <row r="983" spans="1:6" ht="19.5" customHeight="1">
      <c r="A983" s="170" t="s">
        <v>856</v>
      </c>
      <c r="B983" s="169"/>
      <c r="C983" s="278"/>
      <c r="D983" s="184"/>
      <c r="E983" s="285"/>
    </row>
    <row r="984" spans="1:6" ht="19.5" customHeight="1">
      <c r="A984" s="170" t="s">
        <v>857</v>
      </c>
      <c r="B984" s="169"/>
      <c r="C984" s="278"/>
      <c r="D984" s="184"/>
      <c r="E984" s="285"/>
    </row>
    <row r="985" spans="1:6" ht="19.5" customHeight="1">
      <c r="A985" s="170" t="s">
        <v>858</v>
      </c>
      <c r="B985" s="169"/>
      <c r="C985" s="278"/>
      <c r="D985" s="184"/>
      <c r="E985" s="285"/>
    </row>
    <row r="986" spans="1:6" ht="19.5" customHeight="1">
      <c r="A986" s="170" t="s">
        <v>859</v>
      </c>
      <c r="B986" s="169"/>
      <c r="C986" s="278"/>
      <c r="D986" s="184"/>
      <c r="E986" s="285"/>
    </row>
    <row r="987" spans="1:6" ht="19.5" customHeight="1">
      <c r="A987" s="170" t="s">
        <v>184</v>
      </c>
      <c r="B987" s="169"/>
      <c r="C987" s="278"/>
      <c r="D987" s="184"/>
      <c r="E987" s="285"/>
    </row>
    <row r="988" spans="1:6" ht="19.5" customHeight="1">
      <c r="A988" s="170" t="s">
        <v>860</v>
      </c>
      <c r="B988" s="169"/>
      <c r="C988" s="278">
        <v>120</v>
      </c>
      <c r="D988" s="184"/>
      <c r="E988" s="285">
        <f>C988/86</f>
        <v>1.3953488372093024</v>
      </c>
    </row>
    <row r="989" spans="1:6" ht="19.5" customHeight="1">
      <c r="A989" s="166" t="s">
        <v>861</v>
      </c>
      <c r="B989" s="167">
        <v>2839</v>
      </c>
      <c r="C989" s="278">
        <f>SUM(C990:C995)</f>
        <v>2754</v>
      </c>
      <c r="D989" s="184">
        <f t="shared" si="18"/>
        <v>0.97005988023952094</v>
      </c>
      <c r="E989" s="285">
        <f>C989/395</f>
        <v>6.9721518987341771</v>
      </c>
    </row>
    <row r="990" spans="1:6" ht="19.5" customHeight="1">
      <c r="A990" s="168" t="s">
        <v>186</v>
      </c>
      <c r="B990" s="169"/>
      <c r="C990" s="278">
        <v>204</v>
      </c>
      <c r="D990" s="184"/>
      <c r="E990" s="285">
        <f>C990/380</f>
        <v>0.5368421052631579</v>
      </c>
    </row>
    <row r="991" spans="1:6" ht="19.5" customHeight="1">
      <c r="A991" s="170" t="s">
        <v>176</v>
      </c>
      <c r="B991" s="169"/>
      <c r="C991" s="278"/>
      <c r="D991" s="184"/>
      <c r="E991" s="285"/>
    </row>
    <row r="992" spans="1:6" ht="19.5" customHeight="1">
      <c r="A992" s="170" t="s">
        <v>177</v>
      </c>
      <c r="B992" s="169"/>
      <c r="C992" s="278"/>
      <c r="D992" s="184"/>
      <c r="E992" s="285"/>
    </row>
    <row r="993" spans="1:5" ht="19.5" customHeight="1">
      <c r="A993" s="170" t="s">
        <v>862</v>
      </c>
      <c r="B993" s="169"/>
      <c r="C993" s="278"/>
      <c r="D993" s="184"/>
      <c r="E993" s="285"/>
    </row>
    <row r="994" spans="1:5" ht="19.5" customHeight="1">
      <c r="A994" s="170" t="s">
        <v>863</v>
      </c>
      <c r="B994" s="169"/>
      <c r="C994" s="278"/>
      <c r="D994" s="184"/>
      <c r="E994" s="285">
        <f>C994/15</f>
        <v>0</v>
      </c>
    </row>
    <row r="995" spans="1:5" ht="19.5" customHeight="1">
      <c r="A995" s="170" t="s">
        <v>864</v>
      </c>
      <c r="B995" s="169"/>
      <c r="C995" s="278">
        <v>2550</v>
      </c>
      <c r="D995" s="184"/>
      <c r="E995" s="285"/>
    </row>
    <row r="996" spans="1:5" ht="19.5" customHeight="1">
      <c r="A996" s="166" t="s">
        <v>865</v>
      </c>
      <c r="B996" s="167"/>
      <c r="C996" s="278"/>
      <c r="D996" s="184"/>
      <c r="E996" s="285"/>
    </row>
    <row r="997" spans="1:5" ht="19.5" customHeight="1">
      <c r="A997" s="168" t="s">
        <v>186</v>
      </c>
      <c r="B997" s="169"/>
      <c r="C997" s="278"/>
      <c r="D997" s="184"/>
      <c r="E997" s="285"/>
    </row>
    <row r="998" spans="1:5" ht="19.5" customHeight="1">
      <c r="A998" s="170" t="s">
        <v>176</v>
      </c>
      <c r="B998" s="169"/>
      <c r="C998" s="278"/>
      <c r="D998" s="184"/>
      <c r="E998" s="285"/>
    </row>
    <row r="999" spans="1:5" ht="19.5" customHeight="1">
      <c r="A999" s="170" t="s">
        <v>177</v>
      </c>
      <c r="B999" s="169"/>
      <c r="C999" s="278"/>
      <c r="D999" s="184"/>
      <c r="E999" s="285"/>
    </row>
    <row r="1000" spans="1:5" ht="19.5" customHeight="1">
      <c r="A1000" s="170" t="s">
        <v>866</v>
      </c>
      <c r="B1000" s="169"/>
      <c r="C1000" s="278"/>
      <c r="D1000" s="184"/>
      <c r="E1000" s="285"/>
    </row>
    <row r="1001" spans="1:5" ht="19.5" customHeight="1">
      <c r="A1001" s="170" t="s">
        <v>867</v>
      </c>
      <c r="B1001" s="169"/>
      <c r="C1001" s="278"/>
      <c r="D1001" s="184"/>
      <c r="E1001" s="285"/>
    </row>
    <row r="1002" spans="1:5" ht="19.5" customHeight="1">
      <c r="A1002" s="166" t="s">
        <v>868</v>
      </c>
      <c r="B1002" s="167"/>
      <c r="C1002" s="278">
        <f>SUM(C1003:C1004)</f>
        <v>0</v>
      </c>
      <c r="D1002" s="184"/>
      <c r="E1002" s="285"/>
    </row>
    <row r="1003" spans="1:5" ht="19.5" customHeight="1">
      <c r="A1003" s="168" t="s">
        <v>869</v>
      </c>
      <c r="B1003" s="169"/>
      <c r="C1003" s="278"/>
      <c r="D1003" s="184"/>
      <c r="E1003" s="285"/>
    </row>
    <row r="1004" spans="1:5" ht="19.5" customHeight="1">
      <c r="A1004" s="170" t="s">
        <v>870</v>
      </c>
      <c r="B1004" s="169"/>
      <c r="C1004" s="278"/>
      <c r="D1004" s="184"/>
      <c r="E1004" s="285"/>
    </row>
    <row r="1005" spans="1:5" ht="19.5" customHeight="1">
      <c r="A1005" s="172" t="s">
        <v>871</v>
      </c>
      <c r="B1005" s="167"/>
      <c r="C1005" s="278"/>
      <c r="D1005" s="184"/>
      <c r="E1005" s="285"/>
    </row>
    <row r="1006" spans="1:5" ht="19.5" customHeight="1">
      <c r="A1006" s="166" t="s">
        <v>872</v>
      </c>
      <c r="B1006" s="167"/>
      <c r="C1006" s="278"/>
      <c r="D1006" s="184"/>
      <c r="E1006" s="285"/>
    </row>
    <row r="1007" spans="1:5" ht="19.5" customHeight="1">
      <c r="A1007" s="166" t="s">
        <v>873</v>
      </c>
      <c r="B1007" s="169"/>
      <c r="C1007" s="278"/>
      <c r="D1007" s="184"/>
      <c r="E1007" s="285"/>
    </row>
    <row r="1008" spans="1:5" ht="19.5" customHeight="1">
      <c r="A1008" s="166" t="s">
        <v>874</v>
      </c>
      <c r="B1008" s="167"/>
      <c r="C1008" s="278"/>
      <c r="D1008" s="184"/>
      <c r="E1008" s="285"/>
    </row>
    <row r="1009" spans="1:6" ht="19.5" customHeight="1">
      <c r="A1009" s="166" t="s">
        <v>875</v>
      </c>
      <c r="B1009" s="167"/>
      <c r="C1009" s="278"/>
      <c r="D1009" s="184"/>
      <c r="E1009" s="285"/>
    </row>
    <row r="1010" spans="1:6" ht="19.5" customHeight="1">
      <c r="A1010" s="168" t="s">
        <v>876</v>
      </c>
      <c r="B1010" s="169"/>
      <c r="C1010" s="278"/>
      <c r="D1010" s="184"/>
      <c r="E1010" s="285"/>
    </row>
    <row r="1011" spans="1:6" ht="19.5" customHeight="1">
      <c r="A1011" s="172" t="s">
        <v>877</v>
      </c>
      <c r="B1011" s="169"/>
      <c r="C1011" s="278"/>
      <c r="D1011" s="184"/>
      <c r="E1011" s="285"/>
    </row>
    <row r="1012" spans="1:6" s="180" customFormat="1" ht="19.5" customHeight="1">
      <c r="A1012" s="172" t="s">
        <v>878</v>
      </c>
      <c r="B1012" s="177">
        <f>B1013+B1043+B1056</f>
        <v>1227</v>
      </c>
      <c r="C1012" s="277">
        <f>C1013+C1043+C1056</f>
        <v>1227</v>
      </c>
      <c r="D1012" s="181">
        <f t="shared" si="18"/>
        <v>1</v>
      </c>
      <c r="E1012" s="284">
        <f>C1012/903</f>
        <v>1.3588039867109634</v>
      </c>
      <c r="F1012" s="178"/>
    </row>
    <row r="1013" spans="1:6" ht="19.5" customHeight="1">
      <c r="A1013" s="166" t="s">
        <v>879</v>
      </c>
      <c r="B1013" s="167">
        <v>1033</v>
      </c>
      <c r="C1013" s="278">
        <f>SUM(C1014:C1032)</f>
        <v>1033</v>
      </c>
      <c r="D1013" s="184">
        <f t="shared" si="18"/>
        <v>1</v>
      </c>
      <c r="E1013" s="285">
        <f>C1013/727</f>
        <v>1.4209078404401652</v>
      </c>
    </row>
    <row r="1014" spans="1:6" ht="19.5" customHeight="1">
      <c r="A1014" s="168" t="s">
        <v>186</v>
      </c>
      <c r="B1014" s="169"/>
      <c r="C1014" s="278">
        <v>933</v>
      </c>
      <c r="D1014" s="184"/>
      <c r="E1014" s="285">
        <f>C1014/390</f>
        <v>2.3923076923076922</v>
      </c>
    </row>
    <row r="1015" spans="1:6" ht="19.5" customHeight="1">
      <c r="A1015" s="170" t="s">
        <v>176</v>
      </c>
      <c r="B1015" s="169"/>
      <c r="C1015" s="278"/>
      <c r="D1015" s="184"/>
      <c r="E1015" s="285"/>
    </row>
    <row r="1016" spans="1:6" ht="19.5" customHeight="1">
      <c r="A1016" s="170" t="s">
        <v>177</v>
      </c>
      <c r="B1016" s="169"/>
      <c r="C1016" s="278"/>
      <c r="D1016" s="184"/>
      <c r="E1016" s="285"/>
    </row>
    <row r="1017" spans="1:6" ht="19.5" customHeight="1">
      <c r="A1017" s="170" t="s">
        <v>880</v>
      </c>
      <c r="B1017" s="169"/>
      <c r="C1017" s="278"/>
      <c r="D1017" s="184"/>
      <c r="E1017" s="285"/>
    </row>
    <row r="1018" spans="1:6" ht="19.5" customHeight="1">
      <c r="A1018" s="170" t="s">
        <v>881</v>
      </c>
      <c r="B1018" s="169"/>
      <c r="C1018" s="278"/>
      <c r="D1018" s="184"/>
      <c r="E1018" s="285"/>
    </row>
    <row r="1019" spans="1:6" ht="19.5" customHeight="1">
      <c r="A1019" s="170" t="s">
        <v>882</v>
      </c>
      <c r="B1019" s="169"/>
      <c r="C1019" s="278">
        <v>100</v>
      </c>
      <c r="D1019" s="184"/>
      <c r="E1019" s="285">
        <f>C1019/137</f>
        <v>0.72992700729927007</v>
      </c>
    </row>
    <row r="1020" spans="1:6" ht="19.5" customHeight="1">
      <c r="A1020" s="170" t="s">
        <v>883</v>
      </c>
      <c r="B1020" s="169"/>
      <c r="C1020" s="278"/>
      <c r="D1020" s="184"/>
      <c r="E1020" s="285"/>
    </row>
    <row r="1021" spans="1:6" ht="19.5" customHeight="1">
      <c r="A1021" s="170" t="s">
        <v>884</v>
      </c>
      <c r="B1021" s="169"/>
      <c r="C1021" s="278"/>
      <c r="D1021" s="184"/>
      <c r="E1021" s="285"/>
    </row>
    <row r="1022" spans="1:6" ht="19.5" customHeight="1">
      <c r="A1022" s="170" t="s">
        <v>885</v>
      </c>
      <c r="B1022" s="169"/>
      <c r="C1022" s="278"/>
      <c r="D1022" s="184"/>
      <c r="E1022" s="285"/>
    </row>
    <row r="1023" spans="1:6" ht="19.5" customHeight="1">
      <c r="A1023" s="170" t="s">
        <v>886</v>
      </c>
      <c r="B1023" s="169"/>
      <c r="C1023" s="278"/>
      <c r="D1023" s="184"/>
      <c r="E1023" s="285"/>
    </row>
    <row r="1024" spans="1:6" ht="19.5" customHeight="1">
      <c r="A1024" s="170" t="s">
        <v>887</v>
      </c>
      <c r="B1024" s="169"/>
      <c r="C1024" s="278"/>
      <c r="D1024" s="184"/>
      <c r="E1024" s="285"/>
    </row>
    <row r="1025" spans="1:5" ht="19.5" customHeight="1">
      <c r="A1025" s="170" t="s">
        <v>888</v>
      </c>
      <c r="B1025" s="169"/>
      <c r="C1025" s="278"/>
      <c r="D1025" s="184"/>
      <c r="E1025" s="285"/>
    </row>
    <row r="1026" spans="1:5" ht="19.5" customHeight="1">
      <c r="A1026" s="170" t="s">
        <v>889</v>
      </c>
      <c r="B1026" s="169"/>
      <c r="C1026" s="278"/>
      <c r="D1026" s="184"/>
      <c r="E1026" s="285"/>
    </row>
    <row r="1027" spans="1:5" ht="19.5" customHeight="1">
      <c r="A1027" s="170" t="s">
        <v>890</v>
      </c>
      <c r="B1027" s="169"/>
      <c r="C1027" s="278"/>
      <c r="D1027" s="184"/>
      <c r="E1027" s="285"/>
    </row>
    <row r="1028" spans="1:5" ht="19.5" customHeight="1">
      <c r="A1028" s="170" t="s">
        <v>891</v>
      </c>
      <c r="B1028" s="169"/>
      <c r="C1028" s="278"/>
      <c r="D1028" s="184"/>
      <c r="E1028" s="285"/>
    </row>
    <row r="1029" spans="1:5" ht="19.5" customHeight="1">
      <c r="A1029" s="170" t="s">
        <v>892</v>
      </c>
      <c r="B1029" s="169"/>
      <c r="C1029" s="278"/>
      <c r="D1029" s="184"/>
      <c r="E1029" s="285"/>
    </row>
    <row r="1030" spans="1:5" ht="19.5" customHeight="1">
      <c r="A1030" s="170" t="s">
        <v>893</v>
      </c>
      <c r="B1030" s="167"/>
      <c r="C1030" s="278"/>
      <c r="D1030" s="184"/>
      <c r="E1030" s="285"/>
    </row>
    <row r="1031" spans="1:5" ht="19.5" customHeight="1">
      <c r="A1031" s="170" t="s">
        <v>184</v>
      </c>
      <c r="B1031" s="169"/>
      <c r="C1031" s="278"/>
      <c r="D1031" s="184"/>
      <c r="E1031" s="285"/>
    </row>
    <row r="1032" spans="1:5" ht="19.5" customHeight="1">
      <c r="A1032" s="170" t="s">
        <v>894</v>
      </c>
      <c r="B1032" s="169"/>
      <c r="C1032" s="278"/>
      <c r="D1032" s="184"/>
      <c r="E1032" s="285"/>
    </row>
    <row r="1033" spans="1:5" ht="19.5" customHeight="1">
      <c r="A1033" s="166" t="s">
        <v>895</v>
      </c>
      <c r="B1033" s="169"/>
      <c r="C1033" s="278"/>
      <c r="D1033" s="184"/>
      <c r="E1033" s="285"/>
    </row>
    <row r="1034" spans="1:5" ht="19.5" customHeight="1">
      <c r="A1034" s="166" t="s">
        <v>896</v>
      </c>
      <c r="B1034" s="167"/>
      <c r="C1034" s="278"/>
      <c r="D1034" s="184"/>
      <c r="E1034" s="285"/>
    </row>
    <row r="1035" spans="1:5" ht="19.5" customHeight="1">
      <c r="A1035" s="168" t="s">
        <v>186</v>
      </c>
      <c r="B1035" s="169"/>
      <c r="C1035" s="278"/>
      <c r="D1035" s="184"/>
      <c r="E1035" s="285"/>
    </row>
    <row r="1036" spans="1:5" ht="19.5" customHeight="1">
      <c r="A1036" s="170" t="s">
        <v>176</v>
      </c>
      <c r="B1036" s="169"/>
      <c r="C1036" s="278"/>
      <c r="D1036" s="184"/>
      <c r="E1036" s="285"/>
    </row>
    <row r="1037" spans="1:5" ht="19.5" customHeight="1">
      <c r="A1037" s="170" t="s">
        <v>177</v>
      </c>
      <c r="B1037" s="169"/>
      <c r="C1037" s="278"/>
      <c r="D1037" s="184"/>
      <c r="E1037" s="285"/>
    </row>
    <row r="1038" spans="1:5" ht="19.5" customHeight="1">
      <c r="A1038" s="170" t="s">
        <v>897</v>
      </c>
      <c r="B1038" s="169"/>
      <c r="C1038" s="278"/>
      <c r="D1038" s="184"/>
      <c r="E1038" s="285"/>
    </row>
    <row r="1039" spans="1:5" ht="19.5" customHeight="1">
      <c r="A1039" s="170" t="s">
        <v>898</v>
      </c>
      <c r="B1039" s="169"/>
      <c r="C1039" s="278"/>
      <c r="D1039" s="184"/>
      <c r="E1039" s="285"/>
    </row>
    <row r="1040" spans="1:5" ht="19.5" customHeight="1">
      <c r="A1040" s="170" t="s">
        <v>899</v>
      </c>
      <c r="B1040" s="169"/>
      <c r="C1040" s="278"/>
      <c r="D1040" s="184"/>
      <c r="E1040" s="285"/>
    </row>
    <row r="1041" spans="1:5" ht="19.5" customHeight="1">
      <c r="A1041" s="170" t="s">
        <v>184</v>
      </c>
      <c r="B1041" s="169"/>
      <c r="C1041" s="278"/>
      <c r="D1041" s="184"/>
      <c r="E1041" s="285"/>
    </row>
    <row r="1042" spans="1:5" ht="19.5" customHeight="1">
      <c r="A1042" s="170" t="s">
        <v>900</v>
      </c>
      <c r="B1042" s="169"/>
      <c r="C1042" s="278"/>
      <c r="D1042" s="184"/>
      <c r="E1042" s="285"/>
    </row>
    <row r="1043" spans="1:5" ht="19.5" customHeight="1">
      <c r="A1043" s="166" t="s">
        <v>901</v>
      </c>
      <c r="B1043" s="167">
        <v>193</v>
      </c>
      <c r="C1043" s="278">
        <f>SUM(C1044:C1055)</f>
        <v>193</v>
      </c>
      <c r="D1043" s="184">
        <f t="shared" ref="D1043:D1087" si="19">C1043/B1043</f>
        <v>1</v>
      </c>
      <c r="E1043" s="285">
        <f>C1043/174</f>
        <v>1.1091954022988506</v>
      </c>
    </row>
    <row r="1044" spans="1:5" ht="19.5" customHeight="1">
      <c r="A1044" s="168" t="s">
        <v>186</v>
      </c>
      <c r="B1044" s="169"/>
      <c r="C1044" s="278">
        <v>193</v>
      </c>
      <c r="D1044" s="184"/>
      <c r="E1044" s="285">
        <f>C1044/174</f>
        <v>1.1091954022988506</v>
      </c>
    </row>
    <row r="1045" spans="1:5" ht="19.5" customHeight="1">
      <c r="A1045" s="170" t="s">
        <v>176</v>
      </c>
      <c r="B1045" s="169"/>
      <c r="C1045" s="278"/>
      <c r="D1045" s="184"/>
      <c r="E1045" s="285"/>
    </row>
    <row r="1046" spans="1:5" ht="19.5" customHeight="1">
      <c r="A1046" s="170" t="s">
        <v>177</v>
      </c>
      <c r="B1046" s="169"/>
      <c r="C1046" s="278"/>
      <c r="D1046" s="184"/>
      <c r="E1046" s="285"/>
    </row>
    <row r="1047" spans="1:5" ht="19.5" customHeight="1">
      <c r="A1047" s="170" t="s">
        <v>902</v>
      </c>
      <c r="B1047" s="169"/>
      <c r="C1047" s="278"/>
      <c r="D1047" s="184"/>
      <c r="E1047" s="285"/>
    </row>
    <row r="1048" spans="1:5" ht="19.5" customHeight="1">
      <c r="A1048" s="170" t="s">
        <v>903</v>
      </c>
      <c r="B1048" s="169"/>
      <c r="C1048" s="278"/>
      <c r="D1048" s="184"/>
      <c r="E1048" s="285"/>
    </row>
    <row r="1049" spans="1:5" ht="19.5" customHeight="1">
      <c r="A1049" s="170" t="s">
        <v>904</v>
      </c>
      <c r="B1049" s="169"/>
      <c r="C1049" s="278"/>
      <c r="D1049" s="184"/>
      <c r="E1049" s="285"/>
    </row>
    <row r="1050" spans="1:5" ht="19.5" customHeight="1">
      <c r="A1050" s="170" t="s">
        <v>905</v>
      </c>
      <c r="B1050" s="169"/>
      <c r="C1050" s="278"/>
      <c r="D1050" s="184"/>
      <c r="E1050" s="285"/>
    </row>
    <row r="1051" spans="1:5" ht="19.5" customHeight="1">
      <c r="A1051" s="170" t="s">
        <v>906</v>
      </c>
      <c r="B1051" s="169"/>
      <c r="C1051" s="278"/>
      <c r="D1051" s="184"/>
      <c r="E1051" s="285"/>
    </row>
    <row r="1052" spans="1:5" ht="19.5" customHeight="1">
      <c r="A1052" s="170" t="s">
        <v>907</v>
      </c>
      <c r="B1052" s="169"/>
      <c r="C1052" s="278"/>
      <c r="D1052" s="184"/>
      <c r="E1052" s="285"/>
    </row>
    <row r="1053" spans="1:5" ht="19.5" customHeight="1">
      <c r="A1053" s="170" t="s">
        <v>908</v>
      </c>
      <c r="B1053" s="169"/>
      <c r="C1053" s="278"/>
      <c r="D1053" s="184"/>
      <c r="E1053" s="285"/>
    </row>
    <row r="1054" spans="1:5" ht="19.5" customHeight="1">
      <c r="A1054" s="170" t="s">
        <v>909</v>
      </c>
      <c r="B1054" s="169"/>
      <c r="C1054" s="278"/>
      <c r="D1054" s="184"/>
      <c r="E1054" s="285"/>
    </row>
    <row r="1055" spans="1:5" ht="19.5" customHeight="1">
      <c r="A1055" s="170" t="s">
        <v>910</v>
      </c>
      <c r="B1055" s="169"/>
      <c r="C1055" s="278"/>
      <c r="D1055" s="184"/>
      <c r="E1055" s="285"/>
    </row>
    <row r="1056" spans="1:5" ht="19.5" customHeight="1">
      <c r="A1056" s="166" t="s">
        <v>911</v>
      </c>
      <c r="B1056" s="167">
        <v>1</v>
      </c>
      <c r="C1056" s="278">
        <f>SUM(C1057:C1070)</f>
        <v>1</v>
      </c>
      <c r="D1056" s="184">
        <f t="shared" si="19"/>
        <v>1</v>
      </c>
      <c r="E1056" s="285">
        <f>C1056/2</f>
        <v>0.5</v>
      </c>
    </row>
    <row r="1057" spans="1:6" ht="19.5" customHeight="1">
      <c r="A1057" s="168" t="s">
        <v>186</v>
      </c>
      <c r="B1057" s="169"/>
      <c r="C1057" s="278">
        <v>1</v>
      </c>
      <c r="D1057" s="184"/>
      <c r="E1057" s="285">
        <f>C1057/2</f>
        <v>0.5</v>
      </c>
    </row>
    <row r="1058" spans="1:6" ht="19.5" customHeight="1">
      <c r="A1058" s="170" t="s">
        <v>176</v>
      </c>
      <c r="B1058" s="169"/>
      <c r="C1058" s="278"/>
      <c r="D1058" s="184"/>
      <c r="E1058" s="285"/>
    </row>
    <row r="1059" spans="1:6" ht="19.5" customHeight="1">
      <c r="A1059" s="170" t="s">
        <v>177</v>
      </c>
      <c r="B1059" s="169"/>
      <c r="C1059" s="278"/>
      <c r="D1059" s="184"/>
      <c r="E1059" s="285"/>
    </row>
    <row r="1060" spans="1:6" ht="19.5" customHeight="1">
      <c r="A1060" s="170" t="s">
        <v>912</v>
      </c>
      <c r="B1060" s="169"/>
      <c r="C1060" s="278"/>
      <c r="D1060" s="184"/>
      <c r="E1060" s="285"/>
    </row>
    <row r="1061" spans="1:6" ht="19.5" customHeight="1">
      <c r="A1061" s="170" t="s">
        <v>913</v>
      </c>
      <c r="B1061" s="169"/>
      <c r="C1061" s="278"/>
      <c r="D1061" s="184"/>
      <c r="E1061" s="285"/>
    </row>
    <row r="1062" spans="1:6" ht="19.5" customHeight="1">
      <c r="A1062" s="170" t="s">
        <v>914</v>
      </c>
      <c r="B1062" s="169"/>
      <c r="C1062" s="278"/>
      <c r="D1062" s="184"/>
      <c r="E1062" s="285"/>
    </row>
    <row r="1063" spans="1:6" ht="19.5" customHeight="1">
      <c r="A1063" s="170" t="s">
        <v>915</v>
      </c>
      <c r="B1063" s="169"/>
      <c r="C1063" s="278"/>
      <c r="D1063" s="184"/>
      <c r="E1063" s="285"/>
    </row>
    <row r="1064" spans="1:6" ht="19.5" customHeight="1">
      <c r="A1064" s="170" t="s">
        <v>916</v>
      </c>
      <c r="B1064" s="169"/>
      <c r="C1064" s="278"/>
      <c r="D1064" s="184"/>
      <c r="E1064" s="285"/>
    </row>
    <row r="1065" spans="1:6" ht="19.5" customHeight="1">
      <c r="A1065" s="170" t="s">
        <v>917</v>
      </c>
      <c r="B1065" s="169"/>
      <c r="C1065" s="278"/>
      <c r="D1065" s="184"/>
      <c r="E1065" s="285"/>
    </row>
    <row r="1066" spans="1:6" ht="19.5" customHeight="1">
      <c r="A1066" s="170" t="s">
        <v>918</v>
      </c>
      <c r="B1066" s="169"/>
      <c r="C1066" s="278"/>
      <c r="D1066" s="184"/>
      <c r="E1066" s="285"/>
    </row>
    <row r="1067" spans="1:6" ht="19.5" customHeight="1">
      <c r="A1067" s="170" t="s">
        <v>919</v>
      </c>
      <c r="B1067" s="169"/>
      <c r="C1067" s="278"/>
      <c r="D1067" s="184"/>
      <c r="E1067" s="285"/>
    </row>
    <row r="1068" spans="1:6" ht="19.5" customHeight="1">
      <c r="A1068" s="170" t="s">
        <v>920</v>
      </c>
      <c r="B1068" s="169"/>
      <c r="C1068" s="278"/>
      <c r="D1068" s="184"/>
      <c r="E1068" s="285"/>
    </row>
    <row r="1069" spans="1:6" ht="19.5" customHeight="1">
      <c r="A1069" s="170" t="s">
        <v>921</v>
      </c>
      <c r="B1069" s="169"/>
      <c r="C1069" s="278"/>
      <c r="D1069" s="184"/>
      <c r="E1069" s="285"/>
    </row>
    <row r="1070" spans="1:6" ht="19.5" customHeight="1">
      <c r="A1070" s="166" t="s">
        <v>922</v>
      </c>
      <c r="B1070" s="169"/>
      <c r="C1070" s="278"/>
      <c r="D1070" s="184"/>
      <c r="E1070" s="285"/>
    </row>
    <row r="1071" spans="1:6" s="180" customFormat="1" ht="19.5" customHeight="1">
      <c r="A1071" s="172" t="s">
        <v>923</v>
      </c>
      <c r="B1071" s="177">
        <f>B1072+B1081</f>
        <v>23361</v>
      </c>
      <c r="C1071" s="277">
        <f>C1072+C1081</f>
        <v>23361</v>
      </c>
      <c r="D1071" s="181">
        <f t="shared" si="19"/>
        <v>1</v>
      </c>
      <c r="E1071" s="284">
        <f>C1071/11186</f>
        <v>2.0884140890398712</v>
      </c>
      <c r="F1071" s="178"/>
    </row>
    <row r="1072" spans="1:6" ht="19.5" customHeight="1">
      <c r="A1072" s="166" t="s">
        <v>924</v>
      </c>
      <c r="B1072" s="167">
        <v>23361</v>
      </c>
      <c r="C1072" s="278">
        <f>SUM(C1073:C1080)</f>
        <v>23361</v>
      </c>
      <c r="D1072" s="184">
        <f t="shared" si="19"/>
        <v>1</v>
      </c>
      <c r="E1072" s="285">
        <f>C1072/11186</f>
        <v>2.0884140890398712</v>
      </c>
    </row>
    <row r="1073" spans="1:6" ht="19.5" customHeight="1">
      <c r="A1073" s="168" t="s">
        <v>925</v>
      </c>
      <c r="B1073" s="169"/>
      <c r="C1073" s="278"/>
      <c r="D1073" s="184"/>
      <c r="E1073" s="285"/>
    </row>
    <row r="1074" spans="1:6" ht="19.5" customHeight="1">
      <c r="A1074" s="170" t="s">
        <v>926</v>
      </c>
      <c r="B1074" s="169"/>
      <c r="C1074" s="278"/>
      <c r="D1074" s="184"/>
      <c r="E1074" s="285"/>
    </row>
    <row r="1075" spans="1:6" ht="19.5" customHeight="1">
      <c r="A1075" s="170" t="s">
        <v>927</v>
      </c>
      <c r="B1075" s="169"/>
      <c r="C1075" s="278">
        <v>1364</v>
      </c>
      <c r="D1075" s="184"/>
      <c r="E1075" s="285">
        <f>C1075/416</f>
        <v>3.2788461538461537</v>
      </c>
    </row>
    <row r="1076" spans="1:6" ht="19.5" customHeight="1">
      <c r="A1076" s="170" t="s">
        <v>928</v>
      </c>
      <c r="B1076" s="169"/>
      <c r="C1076" s="278">
        <v>3000</v>
      </c>
      <c r="D1076" s="184"/>
      <c r="E1076" s="285">
        <f>C1076/2280</f>
        <v>1.3157894736842106</v>
      </c>
    </row>
    <row r="1077" spans="1:6" ht="19.5" customHeight="1">
      <c r="A1077" s="170" t="s">
        <v>929</v>
      </c>
      <c r="B1077" s="169"/>
      <c r="C1077" s="278">
        <v>1444</v>
      </c>
      <c r="D1077" s="184"/>
      <c r="E1077" s="285">
        <f>C1077/411</f>
        <v>3.5133819951338201</v>
      </c>
    </row>
    <row r="1078" spans="1:6" ht="19.5" customHeight="1">
      <c r="A1078" s="170" t="s">
        <v>930</v>
      </c>
      <c r="B1078" s="169"/>
      <c r="C1078" s="278"/>
      <c r="D1078" s="184"/>
      <c r="E1078" s="285">
        <f>C1078/317</f>
        <v>0</v>
      </c>
    </row>
    <row r="1079" spans="1:6" ht="19.5" customHeight="1">
      <c r="A1079" s="170" t="s">
        <v>931</v>
      </c>
      <c r="B1079" s="169"/>
      <c r="C1079" s="278">
        <v>22</v>
      </c>
      <c r="D1079" s="184"/>
      <c r="E1079" s="285">
        <f>C1079/6</f>
        <v>3.6666666666666665</v>
      </c>
    </row>
    <row r="1080" spans="1:6" ht="19.5" customHeight="1">
      <c r="A1080" s="170" t="s">
        <v>932</v>
      </c>
      <c r="B1080" s="169"/>
      <c r="C1080" s="278">
        <v>17531</v>
      </c>
      <c r="D1080" s="184"/>
      <c r="E1080" s="285">
        <f>C1080/7756</f>
        <v>2.2603145951521402</v>
      </c>
    </row>
    <row r="1081" spans="1:6" ht="19.5" customHeight="1">
      <c r="A1081" s="166" t="s">
        <v>933</v>
      </c>
      <c r="B1081" s="167"/>
      <c r="C1081" s="278"/>
      <c r="D1081" s="184"/>
      <c r="E1081" s="285"/>
    </row>
    <row r="1082" spans="1:6" ht="19.5" customHeight="1">
      <c r="A1082" s="168" t="s">
        <v>934</v>
      </c>
      <c r="B1082" s="169"/>
      <c r="C1082" s="278"/>
      <c r="D1082" s="184"/>
      <c r="E1082" s="285"/>
    </row>
    <row r="1083" spans="1:6" ht="19.5" customHeight="1">
      <c r="A1083" s="170" t="s">
        <v>935</v>
      </c>
      <c r="B1083" s="169"/>
      <c r="C1083" s="278"/>
      <c r="D1083" s="184"/>
      <c r="E1083" s="285"/>
    </row>
    <row r="1084" spans="1:6" ht="19.5" customHeight="1">
      <c r="A1084" s="170" t="s">
        <v>936</v>
      </c>
      <c r="B1084" s="169"/>
      <c r="C1084" s="278"/>
      <c r="D1084" s="184"/>
      <c r="E1084" s="285"/>
    </row>
    <row r="1085" spans="1:6" ht="19.5" customHeight="1">
      <c r="A1085" s="166" t="s">
        <v>937</v>
      </c>
      <c r="B1085" s="169"/>
      <c r="C1085" s="278"/>
      <c r="D1085" s="184"/>
      <c r="E1085" s="285"/>
    </row>
    <row r="1086" spans="1:6" s="180" customFormat="1" ht="19.5" customHeight="1">
      <c r="A1086" s="172" t="s">
        <v>938</v>
      </c>
      <c r="B1086" s="177">
        <f>B1087+B1112+B1115</f>
        <v>152</v>
      </c>
      <c r="C1086" s="277">
        <f>C1087+C1112+C1115</f>
        <v>152</v>
      </c>
      <c r="D1086" s="181">
        <f t="shared" si="19"/>
        <v>1</v>
      </c>
      <c r="E1086" s="284">
        <f>C1086/101</f>
        <v>1.504950495049505</v>
      </c>
      <c r="F1086" s="178"/>
    </row>
    <row r="1087" spans="1:6" ht="19.5" customHeight="1">
      <c r="A1087" s="166" t="s">
        <v>939</v>
      </c>
      <c r="B1087" s="167">
        <v>152</v>
      </c>
      <c r="C1087" s="278">
        <f>SUM(C1088:C1099)</f>
        <v>152</v>
      </c>
      <c r="D1087" s="184">
        <f t="shared" si="19"/>
        <v>1</v>
      </c>
      <c r="E1087" s="285">
        <f>C1087/101</f>
        <v>1.504950495049505</v>
      </c>
    </row>
    <row r="1088" spans="1:6" ht="19.5" customHeight="1">
      <c r="A1088" s="168" t="s">
        <v>186</v>
      </c>
      <c r="B1088" s="169"/>
      <c r="C1088" s="278">
        <v>152</v>
      </c>
      <c r="D1088" s="184"/>
      <c r="E1088" s="285">
        <f>C1088/101</f>
        <v>1.504950495049505</v>
      </c>
    </row>
    <row r="1089" spans="1:5" ht="19.5" customHeight="1">
      <c r="A1089" s="170" t="s">
        <v>176</v>
      </c>
      <c r="B1089" s="169"/>
      <c r="C1089" s="278"/>
      <c r="D1089" s="184"/>
      <c r="E1089" s="285"/>
    </row>
    <row r="1090" spans="1:5" ht="19.5" customHeight="1">
      <c r="A1090" s="170" t="s">
        <v>177</v>
      </c>
      <c r="B1090" s="169"/>
      <c r="C1090" s="278"/>
      <c r="D1090" s="184"/>
      <c r="E1090" s="285"/>
    </row>
    <row r="1091" spans="1:5" ht="19.5" customHeight="1">
      <c r="A1091" s="170" t="s">
        <v>940</v>
      </c>
      <c r="B1091" s="169"/>
      <c r="C1091" s="278"/>
      <c r="D1091" s="184"/>
      <c r="E1091" s="285"/>
    </row>
    <row r="1092" spans="1:5" ht="19.5" customHeight="1">
      <c r="A1092" s="170" t="s">
        <v>941</v>
      </c>
      <c r="B1092" s="169"/>
      <c r="C1092" s="278"/>
      <c r="D1092" s="184"/>
      <c r="E1092" s="285"/>
    </row>
    <row r="1093" spans="1:5" ht="19.5" customHeight="1">
      <c r="A1093" s="170" t="s">
        <v>942</v>
      </c>
      <c r="B1093" s="169"/>
      <c r="C1093" s="278"/>
      <c r="D1093" s="184"/>
      <c r="E1093" s="285"/>
    </row>
    <row r="1094" spans="1:5" ht="19.5" customHeight="1">
      <c r="A1094" s="170" t="s">
        <v>943</v>
      </c>
      <c r="B1094" s="169"/>
      <c r="C1094" s="278"/>
      <c r="D1094" s="184"/>
      <c r="E1094" s="285"/>
    </row>
    <row r="1095" spans="1:5" ht="19.5" customHeight="1">
      <c r="A1095" s="170" t="s">
        <v>944</v>
      </c>
      <c r="B1095" s="169"/>
      <c r="C1095" s="278"/>
      <c r="D1095" s="184"/>
      <c r="E1095" s="285"/>
    </row>
    <row r="1096" spans="1:5" ht="19.5" customHeight="1">
      <c r="A1096" s="170" t="s">
        <v>945</v>
      </c>
      <c r="B1096" s="169"/>
      <c r="C1096" s="278"/>
      <c r="D1096" s="184"/>
      <c r="E1096" s="285"/>
    </row>
    <row r="1097" spans="1:5" ht="19.5" customHeight="1">
      <c r="A1097" s="170" t="s">
        <v>946</v>
      </c>
      <c r="B1097" s="169"/>
      <c r="C1097" s="278"/>
      <c r="D1097" s="184"/>
      <c r="E1097" s="285"/>
    </row>
    <row r="1098" spans="1:5" ht="19.5" customHeight="1">
      <c r="A1098" s="170" t="s">
        <v>947</v>
      </c>
      <c r="B1098" s="169"/>
      <c r="C1098" s="278"/>
      <c r="D1098" s="184"/>
      <c r="E1098" s="285"/>
    </row>
    <row r="1099" spans="1:5" ht="19.5" customHeight="1">
      <c r="A1099" s="170" t="s">
        <v>184</v>
      </c>
      <c r="B1099" s="169"/>
      <c r="C1099" s="278"/>
      <c r="D1099" s="184"/>
      <c r="E1099" s="285"/>
    </row>
    <row r="1100" spans="1:5" ht="19.5" customHeight="1">
      <c r="A1100" s="166" t="s">
        <v>948</v>
      </c>
      <c r="B1100" s="167"/>
      <c r="C1100" s="278"/>
      <c r="D1100" s="184"/>
      <c r="E1100" s="285"/>
    </row>
    <row r="1101" spans="1:5" ht="19.5" customHeight="1">
      <c r="A1101" s="168" t="s">
        <v>186</v>
      </c>
      <c r="B1101" s="169"/>
      <c r="C1101" s="278"/>
      <c r="D1101" s="184"/>
      <c r="E1101" s="285"/>
    </row>
    <row r="1102" spans="1:5" ht="19.5" customHeight="1">
      <c r="A1102" s="170" t="s">
        <v>176</v>
      </c>
      <c r="B1102" s="169"/>
      <c r="C1102" s="278"/>
      <c r="D1102" s="184"/>
      <c r="E1102" s="285"/>
    </row>
    <row r="1103" spans="1:5" ht="19.5" customHeight="1">
      <c r="A1103" s="170" t="s">
        <v>177</v>
      </c>
      <c r="B1103" s="169"/>
      <c r="C1103" s="278"/>
      <c r="D1103" s="184"/>
      <c r="E1103" s="285"/>
    </row>
    <row r="1104" spans="1:5" ht="19.5" customHeight="1">
      <c r="A1104" s="170" t="s">
        <v>949</v>
      </c>
      <c r="B1104" s="169"/>
      <c r="C1104" s="278"/>
      <c r="D1104" s="184"/>
      <c r="E1104" s="285"/>
    </row>
    <row r="1105" spans="1:6" ht="19.5" customHeight="1">
      <c r="A1105" s="170" t="s">
        <v>950</v>
      </c>
      <c r="B1105" s="169"/>
      <c r="C1105" s="278"/>
      <c r="D1105" s="184"/>
      <c r="E1105" s="285"/>
    </row>
    <row r="1106" spans="1:6" ht="19.5" customHeight="1">
      <c r="A1106" s="170" t="s">
        <v>951</v>
      </c>
      <c r="B1106" s="169"/>
      <c r="C1106" s="278"/>
      <c r="D1106" s="184"/>
      <c r="E1106" s="285"/>
    </row>
    <row r="1107" spans="1:6" ht="19.5" customHeight="1">
      <c r="A1107" s="170" t="s">
        <v>952</v>
      </c>
      <c r="B1107" s="169"/>
      <c r="C1107" s="278"/>
      <c r="D1107" s="184"/>
      <c r="E1107" s="285"/>
    </row>
    <row r="1108" spans="1:6" ht="19.5" customHeight="1">
      <c r="A1108" s="170" t="s">
        <v>953</v>
      </c>
      <c r="B1108" s="169"/>
      <c r="C1108" s="278"/>
      <c r="D1108" s="184"/>
      <c r="E1108" s="285"/>
    </row>
    <row r="1109" spans="1:6" ht="19.5" customHeight="1">
      <c r="A1109" s="170" t="s">
        <v>954</v>
      </c>
      <c r="B1109" s="169"/>
      <c r="C1109" s="278"/>
      <c r="D1109" s="184"/>
      <c r="E1109" s="285"/>
    </row>
    <row r="1110" spans="1:6" ht="19.5" customHeight="1">
      <c r="A1110" s="170" t="s">
        <v>184</v>
      </c>
      <c r="B1110" s="169"/>
      <c r="C1110" s="278"/>
      <c r="D1110" s="184"/>
      <c r="E1110" s="285"/>
    </row>
    <row r="1111" spans="1:6" ht="19.5" customHeight="1">
      <c r="A1111" s="170" t="s">
        <v>955</v>
      </c>
      <c r="B1111" s="169"/>
      <c r="C1111" s="278"/>
      <c r="D1111" s="184"/>
      <c r="E1111" s="285"/>
    </row>
    <row r="1112" spans="1:6" ht="19.5" customHeight="1">
      <c r="A1112" s="166" t="s">
        <v>956</v>
      </c>
      <c r="B1112" s="167"/>
      <c r="C1112" s="278"/>
      <c r="D1112" s="184"/>
      <c r="E1112" s="285"/>
    </row>
    <row r="1113" spans="1:6" ht="19.5" customHeight="1">
      <c r="A1113" s="170" t="s">
        <v>1052</v>
      </c>
      <c r="B1113" s="167"/>
      <c r="C1113" s="278"/>
      <c r="D1113" s="184"/>
      <c r="E1113" s="285"/>
    </row>
    <row r="1114" spans="1:6" ht="19.5" customHeight="1">
      <c r="A1114" s="170" t="s">
        <v>1053</v>
      </c>
      <c r="B1114" s="167"/>
      <c r="C1114" s="278"/>
      <c r="D1114" s="184"/>
      <c r="E1114" s="285"/>
    </row>
    <row r="1115" spans="1:6" ht="19.5" customHeight="1">
      <c r="A1115" s="166" t="s">
        <v>1054</v>
      </c>
      <c r="B1115" s="167"/>
      <c r="C1115" s="278"/>
      <c r="D1115" s="184"/>
      <c r="E1115" s="285"/>
    </row>
    <row r="1116" spans="1:6" ht="19.5" customHeight="1">
      <c r="A1116" s="170" t="s">
        <v>1055</v>
      </c>
      <c r="B1116" s="167"/>
      <c r="C1116" s="278"/>
      <c r="D1116" s="184"/>
      <c r="E1116" s="285"/>
    </row>
    <row r="1117" spans="1:6" s="180" customFormat="1" ht="19.5" customHeight="1">
      <c r="A1117" s="172" t="s">
        <v>957</v>
      </c>
      <c r="B1117" s="179">
        <v>600</v>
      </c>
      <c r="C1117" s="277">
        <v>600</v>
      </c>
      <c r="D1117" s="181">
        <f t="shared" ref="D1117:D1120" si="20">C1117/B1117</f>
        <v>1</v>
      </c>
      <c r="E1117" s="284">
        <f>C1117/100</f>
        <v>6</v>
      </c>
      <c r="F1117" s="178"/>
    </row>
    <row r="1118" spans="1:6" s="180" customFormat="1" ht="19.5" customHeight="1">
      <c r="A1118" s="172" t="s">
        <v>958</v>
      </c>
      <c r="B1118" s="177">
        <f>B1119</f>
        <v>611</v>
      </c>
      <c r="C1118" s="277">
        <f>C1119</f>
        <v>611</v>
      </c>
      <c r="D1118" s="181">
        <f t="shared" si="20"/>
        <v>1</v>
      </c>
      <c r="E1118" s="284">
        <f>C1118/1814</f>
        <v>0.3368246968026461</v>
      </c>
      <c r="F1118" s="178"/>
    </row>
    <row r="1119" spans="1:6" ht="19.5" customHeight="1">
      <c r="A1119" s="166" t="s">
        <v>959</v>
      </c>
      <c r="B1119" s="165">
        <f>B1120</f>
        <v>611</v>
      </c>
      <c r="C1119" s="278">
        <f>C1120</f>
        <v>611</v>
      </c>
      <c r="D1119" s="184">
        <f t="shared" si="20"/>
        <v>1</v>
      </c>
      <c r="E1119" s="285">
        <f>C1119/1814</f>
        <v>0.3368246968026461</v>
      </c>
    </row>
    <row r="1120" spans="1:6" ht="19.5" customHeight="1">
      <c r="A1120" s="166" t="s">
        <v>960</v>
      </c>
      <c r="B1120" s="167">
        <v>611</v>
      </c>
      <c r="C1120" s="278">
        <v>611</v>
      </c>
      <c r="D1120" s="184">
        <f t="shared" si="20"/>
        <v>1</v>
      </c>
      <c r="E1120" s="285">
        <f>C1120/1814</f>
        <v>0.3368246968026461</v>
      </c>
    </row>
    <row r="1121" spans="1:6" s="180" customFormat="1" ht="19.5" customHeight="1">
      <c r="A1121" s="172" t="s">
        <v>961</v>
      </c>
      <c r="B1121" s="179">
        <f>B1122</f>
        <v>21</v>
      </c>
      <c r="C1121" s="277">
        <f>C1122</f>
        <v>21</v>
      </c>
      <c r="D1121" s="181">
        <f>C1121/B1121</f>
        <v>1</v>
      </c>
      <c r="E1121" s="284">
        <f>C1121/5</f>
        <v>4.2</v>
      </c>
      <c r="F1121" s="178"/>
    </row>
    <row r="1122" spans="1:6" ht="19.5" customHeight="1">
      <c r="A1122" s="166" t="s">
        <v>962</v>
      </c>
      <c r="B1122" s="167">
        <f>B1123</f>
        <v>21</v>
      </c>
      <c r="C1122" s="278">
        <f>C1123</f>
        <v>21</v>
      </c>
      <c r="D1122" s="184">
        <f t="shared" ref="D1122:D1123" si="21">C1122/B1122</f>
        <v>1</v>
      </c>
      <c r="E1122" s="285">
        <f>C1122/5</f>
        <v>4.2</v>
      </c>
    </row>
    <row r="1123" spans="1:6" ht="19.5" customHeight="1">
      <c r="A1123" s="173" t="s">
        <v>963</v>
      </c>
      <c r="B1123" s="174">
        <v>21</v>
      </c>
      <c r="C1123" s="279">
        <v>21</v>
      </c>
      <c r="D1123" s="185">
        <f t="shared" si="21"/>
        <v>1</v>
      </c>
      <c r="E1123" s="285">
        <f>C1123/5</f>
        <v>4.2</v>
      </c>
    </row>
    <row r="1124" spans="1:6" ht="19.5" customHeight="1" thickBot="1">
      <c r="A1124" s="175" t="s">
        <v>964</v>
      </c>
      <c r="B1124" s="176">
        <f>B5+B236+B249+B318+B370+B413+B468+B575+B638+B704+B726+B843+B910+B978+B1012+B1071+B1086+B1117+B1118+B1121</f>
        <v>214992</v>
      </c>
      <c r="C1124" s="280">
        <f>C5+C236+C249+C318+C370+C413+C468+C575+C638+C704+C726+C843+C910+C978+C1012+C1071+C1086+C1117+C1118+C1121</f>
        <v>214223</v>
      </c>
      <c r="D1124" s="182">
        <f>C1124/B1124</f>
        <v>0.99642312272084543</v>
      </c>
      <c r="E1124" s="286">
        <f>C1124/177372</f>
        <v>1.2077610896872111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2:E2"/>
  </mergeCells>
  <phoneticPr fontId="1" type="noConversion"/>
  <printOptions horizontalCentered="1"/>
  <pageMargins left="0.98425196850393704" right="0.74803149606299213" top="0.98425196850393704" bottom="0.98425196850393704" header="0.31496062992125984" footer="0.31496062992125984"/>
  <pageSetup paperSize="9" scale="94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65"/>
  <sheetViews>
    <sheetView showGridLines="0" topLeftCell="A37" workbookViewId="0">
      <selection activeCell="A66" sqref="A66"/>
    </sheetView>
  </sheetViews>
  <sheetFormatPr defaultColWidth="54.625" defaultRowHeight="48" customHeight="1"/>
  <cols>
    <col min="1" max="1" width="35.125" style="1" customWidth="1"/>
    <col min="2" max="3" width="16.125" style="196" customWidth="1"/>
    <col min="4" max="4" width="11.125" style="153" customWidth="1"/>
    <col min="5" max="5" width="14.625" style="1" customWidth="1"/>
    <col min="6" max="16384" width="54.625" style="12"/>
  </cols>
  <sheetData>
    <row r="1" spans="1:8" s="8" customFormat="1" ht="20.100000000000001" customHeight="1">
      <c r="A1" s="52" t="s">
        <v>165</v>
      </c>
      <c r="B1" s="192"/>
      <c r="C1" s="192"/>
      <c r="D1" s="204"/>
      <c r="E1" s="4"/>
      <c r="F1" s="4"/>
      <c r="G1" s="4"/>
      <c r="H1" s="4"/>
    </row>
    <row r="2" spans="1:8" s="9" customFormat="1" ht="50.1" customHeight="1">
      <c r="A2" s="293" t="s">
        <v>1167</v>
      </c>
      <c r="B2" s="293"/>
      <c r="C2" s="293"/>
      <c r="D2" s="293"/>
    </row>
    <row r="3" spans="1:8" s="1" customFormat="1" ht="24" customHeight="1" thickBot="1">
      <c r="A3" s="10"/>
      <c r="B3" s="193"/>
      <c r="C3" s="193"/>
      <c r="D3" s="205" t="s">
        <v>146</v>
      </c>
    </row>
    <row r="4" spans="1:8" s="1" customFormat="1" ht="48" customHeight="1" thickBot="1">
      <c r="A4" s="31" t="s">
        <v>18</v>
      </c>
      <c r="B4" s="125" t="s">
        <v>1150</v>
      </c>
      <c r="C4" s="126" t="s">
        <v>1168</v>
      </c>
      <c r="D4" s="155" t="s">
        <v>54</v>
      </c>
      <c r="E4" s="1" t="s">
        <v>2</v>
      </c>
    </row>
    <row r="5" spans="1:8" s="178" customFormat="1" ht="21" customHeight="1">
      <c r="A5" s="210" t="s">
        <v>43</v>
      </c>
      <c r="B5" s="211">
        <f>SUM(B6:B13)</f>
        <v>26892</v>
      </c>
      <c r="C5" s="212">
        <f>SUM(C6:C13)</f>
        <v>32313</v>
      </c>
      <c r="D5" s="213">
        <f>C5/B5</f>
        <v>1.2015841142347166</v>
      </c>
      <c r="E5" s="198" t="s">
        <v>2</v>
      </c>
    </row>
    <row r="6" spans="1:8" s="1" customFormat="1" ht="21" customHeight="1">
      <c r="A6" s="63" t="s">
        <v>59</v>
      </c>
      <c r="B6" s="201">
        <v>8975</v>
      </c>
      <c r="C6" s="195">
        <v>10662</v>
      </c>
      <c r="D6" s="206">
        <f t="shared" ref="D6:D56" si="0">C6/B6</f>
        <v>1.187966573816156</v>
      </c>
      <c r="E6" s="11" t="s">
        <v>2</v>
      </c>
    </row>
    <row r="7" spans="1:8" s="1" customFormat="1" ht="21" customHeight="1">
      <c r="A7" s="63" t="s">
        <v>60</v>
      </c>
      <c r="B7" s="201">
        <v>16901</v>
      </c>
      <c r="C7" s="195">
        <v>20029</v>
      </c>
      <c r="D7" s="206">
        <f t="shared" si="0"/>
        <v>1.1850778060469795</v>
      </c>
      <c r="E7" s="11" t="s">
        <v>2</v>
      </c>
    </row>
    <row r="8" spans="1:8" s="1" customFormat="1" ht="21" customHeight="1">
      <c r="A8" s="63" t="s">
        <v>61</v>
      </c>
      <c r="B8" s="201">
        <v>533</v>
      </c>
      <c r="C8" s="195">
        <v>777</v>
      </c>
      <c r="D8" s="206">
        <f t="shared" si="0"/>
        <v>1.4577861163227017</v>
      </c>
      <c r="E8" s="11" t="s">
        <v>2</v>
      </c>
    </row>
    <row r="9" spans="1:8" s="1" customFormat="1" ht="21" customHeight="1">
      <c r="A9" s="63" t="s">
        <v>1067</v>
      </c>
      <c r="B9" s="201"/>
      <c r="C9" s="195">
        <v>74</v>
      </c>
      <c r="D9" s="206"/>
      <c r="E9" s="11"/>
    </row>
    <row r="10" spans="1:8" s="1" customFormat="1" ht="21" customHeight="1">
      <c r="A10" s="63" t="s">
        <v>1068</v>
      </c>
      <c r="B10" s="201"/>
      <c r="C10" s="195"/>
      <c r="D10" s="206"/>
      <c r="E10" s="11"/>
    </row>
    <row r="11" spans="1:8" s="1" customFormat="1" ht="21" customHeight="1">
      <c r="A11" s="63" t="s">
        <v>1069</v>
      </c>
      <c r="B11" s="201">
        <v>6</v>
      </c>
      <c r="C11" s="195">
        <v>39</v>
      </c>
      <c r="D11" s="206">
        <f t="shared" si="0"/>
        <v>6.5</v>
      </c>
      <c r="E11" s="11"/>
    </row>
    <row r="12" spans="1:8" s="1" customFormat="1" ht="21" customHeight="1">
      <c r="A12" s="63" t="s">
        <v>1070</v>
      </c>
      <c r="B12" s="201">
        <v>450</v>
      </c>
      <c r="C12" s="195">
        <v>685</v>
      </c>
      <c r="D12" s="206">
        <f t="shared" si="0"/>
        <v>1.5222222222222221</v>
      </c>
      <c r="E12" s="11"/>
    </row>
    <row r="13" spans="1:8" s="1" customFormat="1" ht="21" customHeight="1">
      <c r="A13" s="63" t="s">
        <v>1071</v>
      </c>
      <c r="B13" s="201">
        <v>27</v>
      </c>
      <c r="C13" s="202">
        <v>47</v>
      </c>
      <c r="D13" s="206">
        <f t="shared" si="0"/>
        <v>1.7407407407407407</v>
      </c>
      <c r="E13" s="11"/>
    </row>
    <row r="14" spans="1:8" s="178" customFormat="1" ht="21" customHeight="1">
      <c r="A14" s="210" t="s">
        <v>45</v>
      </c>
      <c r="B14" s="214">
        <f>SUM(B15:B41)</f>
        <v>11180</v>
      </c>
      <c r="C14" s="212">
        <f>SUM(C15:C41)</f>
        <v>10534</v>
      </c>
      <c r="D14" s="213">
        <f t="shared" si="0"/>
        <v>0.94221824686940969</v>
      </c>
      <c r="E14" s="198" t="s">
        <v>2</v>
      </c>
    </row>
    <row r="15" spans="1:8" s="1" customFormat="1" ht="21" customHeight="1">
      <c r="A15" s="63" t="s">
        <v>1097</v>
      </c>
      <c r="B15" s="201">
        <v>635</v>
      </c>
      <c r="C15" s="195">
        <v>1221</v>
      </c>
      <c r="D15" s="206">
        <f t="shared" si="0"/>
        <v>1.9228346456692913</v>
      </c>
      <c r="E15" s="11" t="s">
        <v>2</v>
      </c>
    </row>
    <row r="16" spans="1:8" s="1" customFormat="1" ht="21" customHeight="1">
      <c r="A16" s="191" t="s">
        <v>1072</v>
      </c>
      <c r="B16" s="201">
        <v>280</v>
      </c>
      <c r="C16" s="195">
        <v>442</v>
      </c>
      <c r="D16" s="206">
        <f t="shared" si="0"/>
        <v>1.5785714285714285</v>
      </c>
      <c r="E16" s="11"/>
    </row>
    <row r="17" spans="1:5" s="1" customFormat="1" ht="21" customHeight="1">
      <c r="A17" s="191" t="s">
        <v>1073</v>
      </c>
      <c r="B17" s="201">
        <v>585</v>
      </c>
      <c r="C17" s="195">
        <v>12</v>
      </c>
      <c r="D17" s="206">
        <f t="shared" si="0"/>
        <v>2.0512820512820513E-2</v>
      </c>
      <c r="E17" s="11"/>
    </row>
    <row r="18" spans="1:5" s="1" customFormat="1" ht="21" customHeight="1">
      <c r="A18" s="191" t="s">
        <v>1074</v>
      </c>
      <c r="B18" s="201">
        <v>5</v>
      </c>
      <c r="C18" s="195">
        <v>4</v>
      </c>
      <c r="D18" s="206">
        <f t="shared" si="0"/>
        <v>0.8</v>
      </c>
      <c r="E18" s="11"/>
    </row>
    <row r="19" spans="1:5" s="1" customFormat="1" ht="21" customHeight="1">
      <c r="A19" s="191" t="s">
        <v>1075</v>
      </c>
      <c r="B19" s="201">
        <v>57</v>
      </c>
      <c r="C19" s="194">
        <v>68</v>
      </c>
      <c r="D19" s="206">
        <f t="shared" si="0"/>
        <v>1.1929824561403508</v>
      </c>
      <c r="E19" s="11"/>
    </row>
    <row r="20" spans="1:5" s="1" customFormat="1" ht="21" customHeight="1">
      <c r="A20" s="191" t="s">
        <v>1076</v>
      </c>
      <c r="B20" s="200">
        <v>219</v>
      </c>
      <c r="C20" s="195">
        <v>233</v>
      </c>
      <c r="D20" s="206">
        <f t="shared" si="0"/>
        <v>1.0639269406392695</v>
      </c>
      <c r="E20" s="11"/>
    </row>
    <row r="21" spans="1:5" s="1" customFormat="1" ht="21" customHeight="1">
      <c r="A21" s="191" t="s">
        <v>1077</v>
      </c>
      <c r="B21" s="201">
        <v>100</v>
      </c>
      <c r="C21" s="195">
        <v>148</v>
      </c>
      <c r="D21" s="206">
        <f t="shared" si="0"/>
        <v>1.48</v>
      </c>
      <c r="E21" s="11"/>
    </row>
    <row r="22" spans="1:5" s="1" customFormat="1" ht="21" customHeight="1">
      <c r="A22" s="191" t="s">
        <v>1078</v>
      </c>
      <c r="B22" s="201">
        <v>510</v>
      </c>
      <c r="C22" s="195">
        <v>327</v>
      </c>
      <c r="D22" s="206">
        <f t="shared" si="0"/>
        <v>0.64117647058823535</v>
      </c>
      <c r="E22" s="11"/>
    </row>
    <row r="23" spans="1:5" s="1" customFormat="1" ht="21" customHeight="1">
      <c r="A23" s="191" t="s">
        <v>1079</v>
      </c>
      <c r="B23" s="201">
        <v>16</v>
      </c>
      <c r="C23" s="195">
        <v>2</v>
      </c>
      <c r="D23" s="206">
        <f t="shared" si="0"/>
        <v>0.125</v>
      </c>
      <c r="E23" s="11"/>
    </row>
    <row r="24" spans="1:5" s="1" customFormat="1" ht="21" customHeight="1">
      <c r="A24" s="191" t="s">
        <v>1080</v>
      </c>
      <c r="B24" s="201">
        <v>485</v>
      </c>
      <c r="C24" s="195">
        <v>528</v>
      </c>
      <c r="D24" s="206">
        <f t="shared" si="0"/>
        <v>1.0886597938144329</v>
      </c>
      <c r="E24" s="11"/>
    </row>
    <row r="25" spans="1:5" s="1" customFormat="1" ht="21" customHeight="1">
      <c r="A25" s="191" t="s">
        <v>1081</v>
      </c>
      <c r="B25" s="201"/>
      <c r="C25" s="195"/>
      <c r="D25" s="206"/>
      <c r="E25" s="11"/>
    </row>
    <row r="26" spans="1:5" s="1" customFormat="1" ht="21" customHeight="1">
      <c r="A26" s="191" t="s">
        <v>1082</v>
      </c>
      <c r="B26" s="201">
        <v>2895</v>
      </c>
      <c r="C26" s="195">
        <v>3814</v>
      </c>
      <c r="D26" s="206">
        <f t="shared" si="0"/>
        <v>1.3174438687392056</v>
      </c>
      <c r="E26" s="11"/>
    </row>
    <row r="27" spans="1:5" s="1" customFormat="1" ht="21" customHeight="1">
      <c r="A27" s="191" t="s">
        <v>1083</v>
      </c>
      <c r="B27" s="201">
        <v>31</v>
      </c>
      <c r="C27" s="195">
        <v>148</v>
      </c>
      <c r="D27" s="206">
        <f t="shared" si="0"/>
        <v>4.774193548387097</v>
      </c>
      <c r="E27" s="11"/>
    </row>
    <row r="28" spans="1:5" s="1" customFormat="1" ht="21" customHeight="1">
      <c r="A28" s="191" t="s">
        <v>1084</v>
      </c>
      <c r="B28" s="201">
        <v>89</v>
      </c>
      <c r="C28" s="195">
        <v>57</v>
      </c>
      <c r="D28" s="206">
        <f t="shared" si="0"/>
        <v>0.6404494382022472</v>
      </c>
      <c r="E28" s="11"/>
    </row>
    <row r="29" spans="1:5" s="1" customFormat="1" ht="21" customHeight="1">
      <c r="A29" s="191" t="s">
        <v>1085</v>
      </c>
      <c r="B29" s="201">
        <v>247</v>
      </c>
      <c r="C29" s="195">
        <v>363</v>
      </c>
      <c r="D29" s="206">
        <f t="shared" si="0"/>
        <v>1.4696356275303644</v>
      </c>
      <c r="E29" s="11"/>
    </row>
    <row r="30" spans="1:5" s="1" customFormat="1" ht="21" customHeight="1">
      <c r="A30" s="191" t="s">
        <v>1086</v>
      </c>
      <c r="B30" s="201">
        <v>179</v>
      </c>
      <c r="C30" s="195">
        <v>148</v>
      </c>
      <c r="D30" s="206">
        <f t="shared" si="0"/>
        <v>0.82681564245810057</v>
      </c>
      <c r="E30" s="11"/>
    </row>
    <row r="31" spans="1:5" s="1" customFormat="1" ht="21" customHeight="1">
      <c r="A31" s="191" t="s">
        <v>1087</v>
      </c>
      <c r="B31" s="201">
        <v>566</v>
      </c>
      <c r="C31" s="195">
        <v>244</v>
      </c>
      <c r="D31" s="206">
        <f t="shared" si="0"/>
        <v>0.43109540636042404</v>
      </c>
      <c r="E31" s="11"/>
    </row>
    <row r="32" spans="1:5" s="1" customFormat="1" ht="21" customHeight="1">
      <c r="A32" s="191" t="s">
        <v>1088</v>
      </c>
      <c r="B32" s="201">
        <v>5</v>
      </c>
      <c r="C32" s="195">
        <v>3</v>
      </c>
      <c r="D32" s="206">
        <f t="shared" si="0"/>
        <v>0.6</v>
      </c>
      <c r="E32" s="11"/>
    </row>
    <row r="33" spans="1:5" s="1" customFormat="1" ht="21" customHeight="1">
      <c r="A33" s="191" t="s">
        <v>1089</v>
      </c>
      <c r="B33" s="201">
        <v>7</v>
      </c>
      <c r="C33" s="195">
        <v>9</v>
      </c>
      <c r="D33" s="206">
        <f t="shared" si="0"/>
        <v>1.2857142857142858</v>
      </c>
      <c r="E33" s="11"/>
    </row>
    <row r="34" spans="1:5" s="1" customFormat="1" ht="21" customHeight="1">
      <c r="A34" s="191" t="s">
        <v>1090</v>
      </c>
      <c r="B34" s="201">
        <v>1490</v>
      </c>
      <c r="C34" s="194">
        <v>903</v>
      </c>
      <c r="D34" s="206">
        <f t="shared" si="0"/>
        <v>0.60604026845637582</v>
      </c>
      <c r="E34" s="11"/>
    </row>
    <row r="35" spans="1:5" s="1" customFormat="1" ht="21" customHeight="1">
      <c r="A35" s="191" t="s">
        <v>1091</v>
      </c>
      <c r="B35" s="200">
        <v>1497</v>
      </c>
      <c r="C35" s="195">
        <v>259</v>
      </c>
      <c r="D35" s="206">
        <f t="shared" si="0"/>
        <v>0.17301269205076819</v>
      </c>
      <c r="E35" s="11"/>
    </row>
    <row r="36" spans="1:5" s="1" customFormat="1" ht="21" customHeight="1">
      <c r="A36" s="191" t="s">
        <v>1092</v>
      </c>
      <c r="B36" s="201">
        <v>103</v>
      </c>
      <c r="C36" s="195">
        <v>102</v>
      </c>
      <c r="D36" s="206">
        <f t="shared" si="0"/>
        <v>0.99029126213592233</v>
      </c>
      <c r="E36" s="11"/>
    </row>
    <row r="37" spans="1:5" s="1" customFormat="1" ht="21" customHeight="1">
      <c r="A37" s="191" t="s">
        <v>1093</v>
      </c>
      <c r="B37" s="201">
        <v>679</v>
      </c>
      <c r="C37" s="195">
        <v>898</v>
      </c>
      <c r="D37" s="206">
        <f t="shared" si="0"/>
        <v>1.3225331369661266</v>
      </c>
      <c r="E37" s="11"/>
    </row>
    <row r="38" spans="1:5" s="1" customFormat="1" ht="21" customHeight="1">
      <c r="A38" s="191" t="s">
        <v>1094</v>
      </c>
      <c r="B38" s="201">
        <v>366</v>
      </c>
      <c r="C38" s="195">
        <v>467</v>
      </c>
      <c r="D38" s="206">
        <f t="shared" si="0"/>
        <v>1.2759562841530054</v>
      </c>
      <c r="E38" s="11"/>
    </row>
    <row r="39" spans="1:5" s="1" customFormat="1" ht="21" customHeight="1">
      <c r="A39" s="63" t="s">
        <v>1095</v>
      </c>
      <c r="B39" s="201"/>
      <c r="C39" s="195">
        <v>16</v>
      </c>
      <c r="D39" s="206"/>
      <c r="E39" s="11" t="s">
        <v>2</v>
      </c>
    </row>
    <row r="40" spans="1:5" s="1" customFormat="1" ht="21" customHeight="1">
      <c r="A40" s="191" t="s">
        <v>1096</v>
      </c>
      <c r="B40" s="201"/>
      <c r="C40" s="195"/>
      <c r="D40" s="206"/>
      <c r="E40" s="11"/>
    </row>
    <row r="41" spans="1:5" s="1" customFormat="1" ht="21" customHeight="1">
      <c r="A41" s="63" t="s">
        <v>62</v>
      </c>
      <c r="B41" s="201">
        <v>134</v>
      </c>
      <c r="C41" s="203">
        <v>118</v>
      </c>
      <c r="D41" s="206">
        <f t="shared" si="0"/>
        <v>0.88059701492537312</v>
      </c>
      <c r="E41" s="11" t="s">
        <v>2</v>
      </c>
    </row>
    <row r="42" spans="1:5" s="178" customFormat="1" ht="21" customHeight="1">
      <c r="A42" s="210" t="s">
        <v>44</v>
      </c>
      <c r="B42" s="215">
        <f>SUM(B43:B56)</f>
        <v>48145</v>
      </c>
      <c r="C42" s="212">
        <f>SUM(C43:C56)</f>
        <v>20744</v>
      </c>
      <c r="D42" s="213">
        <f t="shared" si="0"/>
        <v>0.43086509502544396</v>
      </c>
      <c r="E42" s="198" t="s">
        <v>2</v>
      </c>
    </row>
    <row r="43" spans="1:5" s="1" customFormat="1" ht="21" customHeight="1">
      <c r="A43" s="63" t="s">
        <v>63</v>
      </c>
      <c r="B43" s="201">
        <v>36</v>
      </c>
      <c r="C43" s="195">
        <v>26</v>
      </c>
      <c r="D43" s="206">
        <f t="shared" si="0"/>
        <v>0.72222222222222221</v>
      </c>
      <c r="E43" s="11" t="s">
        <v>2</v>
      </c>
    </row>
    <row r="44" spans="1:5" s="1" customFormat="1" ht="21" customHeight="1">
      <c r="A44" s="63" t="s">
        <v>64</v>
      </c>
      <c r="B44" s="201">
        <v>7610</v>
      </c>
      <c r="C44" s="195">
        <v>8075</v>
      </c>
      <c r="D44" s="206">
        <f t="shared" si="0"/>
        <v>1.0611038107752957</v>
      </c>
      <c r="E44" s="11" t="s">
        <v>2</v>
      </c>
    </row>
    <row r="45" spans="1:5" s="1" customFormat="1" ht="21" customHeight="1">
      <c r="A45" s="191" t="s">
        <v>1098</v>
      </c>
      <c r="B45" s="201">
        <v>23</v>
      </c>
      <c r="C45" s="195"/>
      <c r="D45" s="206">
        <f t="shared" si="0"/>
        <v>0</v>
      </c>
      <c r="E45" s="11"/>
    </row>
    <row r="46" spans="1:5" s="1" customFormat="1" ht="21" customHeight="1">
      <c r="A46" s="191" t="s">
        <v>1099</v>
      </c>
      <c r="B46" s="201">
        <v>309</v>
      </c>
      <c r="C46" s="195">
        <v>123</v>
      </c>
      <c r="D46" s="206">
        <f t="shared" si="0"/>
        <v>0.39805825242718446</v>
      </c>
      <c r="E46" s="11"/>
    </row>
    <row r="47" spans="1:5" s="1" customFormat="1" ht="21" customHeight="1">
      <c r="A47" s="191" t="s">
        <v>1100</v>
      </c>
      <c r="B47" s="201">
        <v>10709</v>
      </c>
      <c r="C47" s="195">
        <v>1926</v>
      </c>
      <c r="D47" s="206">
        <f t="shared" si="0"/>
        <v>0.17984872537118313</v>
      </c>
      <c r="E47" s="11"/>
    </row>
    <row r="48" spans="1:5" s="1" customFormat="1" ht="21" customHeight="1">
      <c r="A48" s="191" t="s">
        <v>1101</v>
      </c>
      <c r="B48" s="201">
        <v>1470</v>
      </c>
      <c r="C48" s="195">
        <v>48</v>
      </c>
      <c r="D48" s="206">
        <f t="shared" si="0"/>
        <v>3.2653061224489799E-2</v>
      </c>
      <c r="E48" s="11"/>
    </row>
    <row r="49" spans="1:5" s="1" customFormat="1" ht="21" customHeight="1">
      <c r="A49" s="191" t="s">
        <v>1102</v>
      </c>
      <c r="B49" s="201">
        <v>405</v>
      </c>
      <c r="C49" s="195">
        <v>174</v>
      </c>
      <c r="D49" s="206">
        <f t="shared" si="0"/>
        <v>0.42962962962962964</v>
      </c>
      <c r="E49" s="11"/>
    </row>
    <row r="50" spans="1:5" s="1" customFormat="1" ht="21" customHeight="1">
      <c r="A50" s="191" t="s">
        <v>1103</v>
      </c>
      <c r="B50" s="201">
        <v>2069</v>
      </c>
      <c r="C50" s="195">
        <v>3065</v>
      </c>
      <c r="D50" s="206">
        <f t="shared" si="0"/>
        <v>1.4813919768003867</v>
      </c>
      <c r="E50" s="11"/>
    </row>
    <row r="51" spans="1:5" s="1" customFormat="1" ht="21" customHeight="1">
      <c r="A51" s="191" t="s">
        <v>1104</v>
      </c>
      <c r="B51" s="201">
        <v>1164</v>
      </c>
      <c r="C51" s="195">
        <v>2051</v>
      </c>
      <c r="D51" s="206">
        <f t="shared" si="0"/>
        <v>1.7620274914089347</v>
      </c>
      <c r="E51" s="11"/>
    </row>
    <row r="52" spans="1:5" s="1" customFormat="1" ht="21" customHeight="1">
      <c r="A52" s="191" t="s">
        <v>1105</v>
      </c>
      <c r="B52" s="201">
        <v>19742</v>
      </c>
      <c r="C52" s="195">
        <v>1536</v>
      </c>
      <c r="D52" s="206">
        <f t="shared" si="0"/>
        <v>7.7803667308276772E-2</v>
      </c>
      <c r="E52" s="11"/>
    </row>
    <row r="53" spans="1:5" s="1" customFormat="1" ht="21" customHeight="1">
      <c r="A53" s="191" t="s">
        <v>1106</v>
      </c>
      <c r="B53" s="201">
        <v>2884</v>
      </c>
      <c r="C53" s="195">
        <v>2659</v>
      </c>
      <c r="D53" s="206">
        <f t="shared" si="0"/>
        <v>0.9219833564493759</v>
      </c>
      <c r="E53" s="11"/>
    </row>
    <row r="54" spans="1:5" s="1" customFormat="1" ht="21" customHeight="1">
      <c r="A54" s="191" t="s">
        <v>935</v>
      </c>
      <c r="B54" s="201"/>
      <c r="C54" s="195"/>
      <c r="D54" s="206"/>
      <c r="E54" s="11"/>
    </row>
    <row r="55" spans="1:5" s="1" customFormat="1" ht="21" customHeight="1">
      <c r="A55" s="191" t="s">
        <v>936</v>
      </c>
      <c r="B55" s="201">
        <v>12</v>
      </c>
      <c r="C55" s="195"/>
      <c r="D55" s="206">
        <f t="shared" si="0"/>
        <v>0</v>
      </c>
      <c r="E55" s="11"/>
    </row>
    <row r="56" spans="1:5" s="1" customFormat="1" ht="21" customHeight="1" thickBot="1">
      <c r="A56" s="63" t="s">
        <v>65</v>
      </c>
      <c r="B56" s="201">
        <v>1712</v>
      </c>
      <c r="C56" s="208">
        <v>1061</v>
      </c>
      <c r="D56" s="209">
        <f t="shared" si="0"/>
        <v>0.61974299065420557</v>
      </c>
      <c r="E56" s="11" t="s">
        <v>2</v>
      </c>
    </row>
    <row r="57" spans="1:5" s="178" customFormat="1" ht="30.75" customHeight="1" thickBot="1">
      <c r="A57" s="197" t="s">
        <v>46</v>
      </c>
      <c r="B57" s="199">
        <f>B5+B14+B42</f>
        <v>86217</v>
      </c>
      <c r="C57" s="207">
        <f>C5+C14+C42</f>
        <v>63591</v>
      </c>
      <c r="D57" s="213">
        <f>C57/B57</f>
        <v>0.73756915689481195</v>
      </c>
      <c r="E57" s="198" t="s">
        <v>2</v>
      </c>
    </row>
    <row r="58" spans="1:5" s="1" customFormat="1" ht="36" customHeight="1">
      <c r="A58" s="294"/>
      <c r="B58" s="295"/>
      <c r="C58" s="295"/>
      <c r="D58" s="295"/>
    </row>
    <row r="59" spans="1:5" s="1" customFormat="1" ht="12.75" customHeight="1">
      <c r="B59" s="196"/>
      <c r="C59" s="196"/>
      <c r="D59" s="153"/>
    </row>
    <row r="60" spans="1:5" s="1" customFormat="1" ht="12.75" customHeight="1">
      <c r="B60" s="196"/>
      <c r="C60" s="196"/>
      <c r="D60" s="153"/>
    </row>
    <row r="61" spans="1:5" s="1" customFormat="1" ht="12.75" customHeight="1">
      <c r="B61" s="196"/>
      <c r="C61" s="196"/>
      <c r="D61" s="153"/>
    </row>
    <row r="62" spans="1:5" s="1" customFormat="1" ht="12.75" customHeight="1">
      <c r="B62" s="196"/>
      <c r="C62" s="196"/>
      <c r="D62" s="153"/>
    </row>
    <row r="63" spans="1:5" s="1" customFormat="1" ht="12.75" customHeight="1">
      <c r="B63" s="196"/>
      <c r="C63" s="196"/>
      <c r="D63" s="153"/>
    </row>
    <row r="64" spans="1:5" s="1" customFormat="1" ht="12.75" customHeight="1">
      <c r="B64" s="196"/>
      <c r="C64" s="196"/>
      <c r="D64" s="153"/>
    </row>
    <row r="65" spans="2:4" s="1" customFormat="1" ht="12.75" customHeight="1">
      <c r="B65" s="196"/>
      <c r="C65" s="196"/>
      <c r="D65" s="153"/>
    </row>
  </sheetData>
  <mergeCells count="2">
    <mergeCell ref="A2:D2"/>
    <mergeCell ref="A58:D58"/>
  </mergeCells>
  <phoneticPr fontId="1" type="noConversion"/>
  <printOptions horizontalCentered="1"/>
  <pageMargins left="0.73" right="0.47244094488188981" top="1.1023622047244095" bottom="0.98425196850393704" header="0.31496062992125984" footer="0.31496062992125984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1"/>
  <sheetViews>
    <sheetView showGridLines="0" showZeros="0" topLeftCell="A7" workbookViewId="0">
      <selection activeCell="F22" activeCellId="5" sqref="F31 F30 F26 F24 F23 F22"/>
    </sheetView>
  </sheetViews>
  <sheetFormatPr defaultRowHeight="12.75" customHeight="1"/>
  <cols>
    <col min="1" max="1" width="37.875" style="44" customWidth="1"/>
    <col min="2" max="3" width="11" style="44" customWidth="1"/>
    <col min="4" max="4" width="36.25" style="66" customWidth="1"/>
    <col min="5" max="240" width="9" style="48"/>
    <col min="241" max="241" width="65.375" style="48" customWidth="1"/>
    <col min="242" max="247" width="21.25" style="48" customWidth="1"/>
    <col min="248" max="248" width="8" style="48" customWidth="1"/>
    <col min="249" max="249" width="6" style="48" customWidth="1"/>
    <col min="250" max="496" width="9" style="48"/>
    <col min="497" max="497" width="65.375" style="48" customWidth="1"/>
    <col min="498" max="503" width="21.25" style="48" customWidth="1"/>
    <col min="504" max="504" width="8" style="48" customWidth="1"/>
    <col min="505" max="505" width="6" style="48" customWidth="1"/>
    <col min="506" max="752" width="9" style="48"/>
    <col min="753" max="753" width="65.375" style="48" customWidth="1"/>
    <col min="754" max="759" width="21.25" style="48" customWidth="1"/>
    <col min="760" max="760" width="8" style="48" customWidth="1"/>
    <col min="761" max="761" width="6" style="48" customWidth="1"/>
    <col min="762" max="1008" width="9" style="48"/>
    <col min="1009" max="1009" width="65.375" style="48" customWidth="1"/>
    <col min="1010" max="1015" width="21.25" style="48" customWidth="1"/>
    <col min="1016" max="1016" width="8" style="48" customWidth="1"/>
    <col min="1017" max="1017" width="6" style="48" customWidth="1"/>
    <col min="1018" max="1264" width="9" style="48"/>
    <col min="1265" max="1265" width="65.375" style="48" customWidth="1"/>
    <col min="1266" max="1271" width="21.25" style="48" customWidth="1"/>
    <col min="1272" max="1272" width="8" style="48" customWidth="1"/>
    <col min="1273" max="1273" width="6" style="48" customWidth="1"/>
    <col min="1274" max="1520" width="9" style="48"/>
    <col min="1521" max="1521" width="65.375" style="48" customWidth="1"/>
    <col min="1522" max="1527" width="21.25" style="48" customWidth="1"/>
    <col min="1528" max="1528" width="8" style="48" customWidth="1"/>
    <col min="1529" max="1529" width="6" style="48" customWidth="1"/>
    <col min="1530" max="1776" width="9" style="48"/>
    <col min="1777" max="1777" width="65.375" style="48" customWidth="1"/>
    <col min="1778" max="1783" width="21.25" style="48" customWidth="1"/>
    <col min="1784" max="1784" width="8" style="48" customWidth="1"/>
    <col min="1785" max="1785" width="6" style="48" customWidth="1"/>
    <col min="1786" max="2032" width="9" style="48"/>
    <col min="2033" max="2033" width="65.375" style="48" customWidth="1"/>
    <col min="2034" max="2039" width="21.25" style="48" customWidth="1"/>
    <col min="2040" max="2040" width="8" style="48" customWidth="1"/>
    <col min="2041" max="2041" width="6" style="48" customWidth="1"/>
    <col min="2042" max="2288" width="9" style="48"/>
    <col min="2289" max="2289" width="65.375" style="48" customWidth="1"/>
    <col min="2290" max="2295" width="21.25" style="48" customWidth="1"/>
    <col min="2296" max="2296" width="8" style="48" customWidth="1"/>
    <col min="2297" max="2297" width="6" style="48" customWidth="1"/>
    <col min="2298" max="2544" width="9" style="48"/>
    <col min="2545" max="2545" width="65.375" style="48" customWidth="1"/>
    <col min="2546" max="2551" width="21.25" style="48" customWidth="1"/>
    <col min="2552" max="2552" width="8" style="48" customWidth="1"/>
    <col min="2553" max="2553" width="6" style="48" customWidth="1"/>
    <col min="2554" max="2800" width="9" style="48"/>
    <col min="2801" max="2801" width="65.375" style="48" customWidth="1"/>
    <col min="2802" max="2807" width="21.25" style="48" customWidth="1"/>
    <col min="2808" max="2808" width="8" style="48" customWidth="1"/>
    <col min="2809" max="2809" width="6" style="48" customWidth="1"/>
    <col min="2810" max="3056" width="9" style="48"/>
    <col min="3057" max="3057" width="65.375" style="48" customWidth="1"/>
    <col min="3058" max="3063" width="21.25" style="48" customWidth="1"/>
    <col min="3064" max="3064" width="8" style="48" customWidth="1"/>
    <col min="3065" max="3065" width="6" style="48" customWidth="1"/>
    <col min="3066" max="3312" width="9" style="48"/>
    <col min="3313" max="3313" width="65.375" style="48" customWidth="1"/>
    <col min="3314" max="3319" width="21.25" style="48" customWidth="1"/>
    <col min="3320" max="3320" width="8" style="48" customWidth="1"/>
    <col min="3321" max="3321" width="6" style="48" customWidth="1"/>
    <col min="3322" max="3568" width="9" style="48"/>
    <col min="3569" max="3569" width="65.375" style="48" customWidth="1"/>
    <col min="3570" max="3575" width="21.25" style="48" customWidth="1"/>
    <col min="3576" max="3576" width="8" style="48" customWidth="1"/>
    <col min="3577" max="3577" width="6" style="48" customWidth="1"/>
    <col min="3578" max="3824" width="9" style="48"/>
    <col min="3825" max="3825" width="65.375" style="48" customWidth="1"/>
    <col min="3826" max="3831" width="21.25" style="48" customWidth="1"/>
    <col min="3832" max="3832" width="8" style="48" customWidth="1"/>
    <col min="3833" max="3833" width="6" style="48" customWidth="1"/>
    <col min="3834" max="4080" width="9" style="48"/>
    <col min="4081" max="4081" width="65.375" style="48" customWidth="1"/>
    <col min="4082" max="4087" width="21.25" style="48" customWidth="1"/>
    <col min="4088" max="4088" width="8" style="48" customWidth="1"/>
    <col min="4089" max="4089" width="6" style="48" customWidth="1"/>
    <col min="4090" max="4336" width="9" style="48"/>
    <col min="4337" max="4337" width="65.375" style="48" customWidth="1"/>
    <col min="4338" max="4343" width="21.25" style="48" customWidth="1"/>
    <col min="4344" max="4344" width="8" style="48" customWidth="1"/>
    <col min="4345" max="4345" width="6" style="48" customWidth="1"/>
    <col min="4346" max="4592" width="9" style="48"/>
    <col min="4593" max="4593" width="65.375" style="48" customWidth="1"/>
    <col min="4594" max="4599" width="21.25" style="48" customWidth="1"/>
    <col min="4600" max="4600" width="8" style="48" customWidth="1"/>
    <col min="4601" max="4601" width="6" style="48" customWidth="1"/>
    <col min="4602" max="4848" width="9" style="48"/>
    <col min="4849" max="4849" width="65.375" style="48" customWidth="1"/>
    <col min="4850" max="4855" width="21.25" style="48" customWidth="1"/>
    <col min="4856" max="4856" width="8" style="48" customWidth="1"/>
    <col min="4857" max="4857" width="6" style="48" customWidth="1"/>
    <col min="4858" max="5104" width="9" style="48"/>
    <col min="5105" max="5105" width="65.375" style="48" customWidth="1"/>
    <col min="5106" max="5111" width="21.25" style="48" customWidth="1"/>
    <col min="5112" max="5112" width="8" style="48" customWidth="1"/>
    <col min="5113" max="5113" width="6" style="48" customWidth="1"/>
    <col min="5114" max="5360" width="9" style="48"/>
    <col min="5361" max="5361" width="65.375" style="48" customWidth="1"/>
    <col min="5362" max="5367" width="21.25" style="48" customWidth="1"/>
    <col min="5368" max="5368" width="8" style="48" customWidth="1"/>
    <col min="5369" max="5369" width="6" style="48" customWidth="1"/>
    <col min="5370" max="5616" width="9" style="48"/>
    <col min="5617" max="5617" width="65.375" style="48" customWidth="1"/>
    <col min="5618" max="5623" width="21.25" style="48" customWidth="1"/>
    <col min="5624" max="5624" width="8" style="48" customWidth="1"/>
    <col min="5625" max="5625" width="6" style="48" customWidth="1"/>
    <col min="5626" max="5872" width="9" style="48"/>
    <col min="5873" max="5873" width="65.375" style="48" customWidth="1"/>
    <col min="5874" max="5879" width="21.25" style="48" customWidth="1"/>
    <col min="5880" max="5880" width="8" style="48" customWidth="1"/>
    <col min="5881" max="5881" width="6" style="48" customWidth="1"/>
    <col min="5882" max="6128" width="9" style="48"/>
    <col min="6129" max="6129" width="65.375" style="48" customWidth="1"/>
    <col min="6130" max="6135" width="21.25" style="48" customWidth="1"/>
    <col min="6136" max="6136" width="8" style="48" customWidth="1"/>
    <col min="6137" max="6137" width="6" style="48" customWidth="1"/>
    <col min="6138" max="6384" width="9" style="48"/>
    <col min="6385" max="6385" width="65.375" style="48" customWidth="1"/>
    <col min="6386" max="6391" width="21.25" style="48" customWidth="1"/>
    <col min="6392" max="6392" width="8" style="48" customWidth="1"/>
    <col min="6393" max="6393" width="6" style="48" customWidth="1"/>
    <col min="6394" max="6640" width="9" style="48"/>
    <col min="6641" max="6641" width="65.375" style="48" customWidth="1"/>
    <col min="6642" max="6647" width="21.25" style="48" customWidth="1"/>
    <col min="6648" max="6648" width="8" style="48" customWidth="1"/>
    <col min="6649" max="6649" width="6" style="48" customWidth="1"/>
    <col min="6650" max="6896" width="9" style="48"/>
    <col min="6897" max="6897" width="65.375" style="48" customWidth="1"/>
    <col min="6898" max="6903" width="21.25" style="48" customWidth="1"/>
    <col min="6904" max="6904" width="8" style="48" customWidth="1"/>
    <col min="6905" max="6905" width="6" style="48" customWidth="1"/>
    <col min="6906" max="7152" width="9" style="48"/>
    <col min="7153" max="7153" width="65.375" style="48" customWidth="1"/>
    <col min="7154" max="7159" width="21.25" style="48" customWidth="1"/>
    <col min="7160" max="7160" width="8" style="48" customWidth="1"/>
    <col min="7161" max="7161" width="6" style="48" customWidth="1"/>
    <col min="7162" max="7408" width="9" style="48"/>
    <col min="7409" max="7409" width="65.375" style="48" customWidth="1"/>
    <col min="7410" max="7415" width="21.25" style="48" customWidth="1"/>
    <col min="7416" max="7416" width="8" style="48" customWidth="1"/>
    <col min="7417" max="7417" width="6" style="48" customWidth="1"/>
    <col min="7418" max="7664" width="9" style="48"/>
    <col min="7665" max="7665" width="65.375" style="48" customWidth="1"/>
    <col min="7666" max="7671" width="21.25" style="48" customWidth="1"/>
    <col min="7672" max="7672" width="8" style="48" customWidth="1"/>
    <col min="7673" max="7673" width="6" style="48" customWidth="1"/>
    <col min="7674" max="7920" width="9" style="48"/>
    <col min="7921" max="7921" width="65.375" style="48" customWidth="1"/>
    <col min="7922" max="7927" width="21.25" style="48" customWidth="1"/>
    <col min="7928" max="7928" width="8" style="48" customWidth="1"/>
    <col min="7929" max="7929" width="6" style="48" customWidth="1"/>
    <col min="7930" max="8176" width="9" style="48"/>
    <col min="8177" max="8177" width="65.375" style="48" customWidth="1"/>
    <col min="8178" max="8183" width="21.25" style="48" customWidth="1"/>
    <col min="8184" max="8184" width="8" style="48" customWidth="1"/>
    <col min="8185" max="8185" width="6" style="48" customWidth="1"/>
    <col min="8186" max="8432" width="9" style="48"/>
    <col min="8433" max="8433" width="65.375" style="48" customWidth="1"/>
    <col min="8434" max="8439" width="21.25" style="48" customWidth="1"/>
    <col min="8440" max="8440" width="8" style="48" customWidth="1"/>
    <col min="8441" max="8441" width="6" style="48" customWidth="1"/>
    <col min="8442" max="8688" width="9" style="48"/>
    <col min="8689" max="8689" width="65.375" style="48" customWidth="1"/>
    <col min="8690" max="8695" width="21.25" style="48" customWidth="1"/>
    <col min="8696" max="8696" width="8" style="48" customWidth="1"/>
    <col min="8697" max="8697" width="6" style="48" customWidth="1"/>
    <col min="8698" max="8944" width="9" style="48"/>
    <col min="8945" max="8945" width="65.375" style="48" customWidth="1"/>
    <col min="8946" max="8951" width="21.25" style="48" customWidth="1"/>
    <col min="8952" max="8952" width="8" style="48" customWidth="1"/>
    <col min="8953" max="8953" width="6" style="48" customWidth="1"/>
    <col min="8954" max="9200" width="9" style="48"/>
    <col min="9201" max="9201" width="65.375" style="48" customWidth="1"/>
    <col min="9202" max="9207" width="21.25" style="48" customWidth="1"/>
    <col min="9208" max="9208" width="8" style="48" customWidth="1"/>
    <col min="9209" max="9209" width="6" style="48" customWidth="1"/>
    <col min="9210" max="9456" width="9" style="48"/>
    <col min="9457" max="9457" width="65.375" style="48" customWidth="1"/>
    <col min="9458" max="9463" width="21.25" style="48" customWidth="1"/>
    <col min="9464" max="9464" width="8" style="48" customWidth="1"/>
    <col min="9465" max="9465" width="6" style="48" customWidth="1"/>
    <col min="9466" max="9712" width="9" style="48"/>
    <col min="9713" max="9713" width="65.375" style="48" customWidth="1"/>
    <col min="9714" max="9719" width="21.25" style="48" customWidth="1"/>
    <col min="9720" max="9720" width="8" style="48" customWidth="1"/>
    <col min="9721" max="9721" width="6" style="48" customWidth="1"/>
    <col min="9722" max="9968" width="9" style="48"/>
    <col min="9969" max="9969" width="65.375" style="48" customWidth="1"/>
    <col min="9970" max="9975" width="21.25" style="48" customWidth="1"/>
    <col min="9976" max="9976" width="8" style="48" customWidth="1"/>
    <col min="9977" max="9977" width="6" style="48" customWidth="1"/>
    <col min="9978" max="10224" width="9" style="48"/>
    <col min="10225" max="10225" width="65.375" style="48" customWidth="1"/>
    <col min="10226" max="10231" width="21.25" style="48" customWidth="1"/>
    <col min="10232" max="10232" width="8" style="48" customWidth="1"/>
    <col min="10233" max="10233" width="6" style="48" customWidth="1"/>
    <col min="10234" max="10480" width="9" style="48"/>
    <col min="10481" max="10481" width="65.375" style="48" customWidth="1"/>
    <col min="10482" max="10487" width="21.25" style="48" customWidth="1"/>
    <col min="10488" max="10488" width="8" style="48" customWidth="1"/>
    <col min="10489" max="10489" width="6" style="48" customWidth="1"/>
    <col min="10490" max="10736" width="9" style="48"/>
    <col min="10737" max="10737" width="65.375" style="48" customWidth="1"/>
    <col min="10738" max="10743" width="21.25" style="48" customWidth="1"/>
    <col min="10744" max="10744" width="8" style="48" customWidth="1"/>
    <col min="10745" max="10745" width="6" style="48" customWidth="1"/>
    <col min="10746" max="10992" width="9" style="48"/>
    <col min="10993" max="10993" width="65.375" style="48" customWidth="1"/>
    <col min="10994" max="10999" width="21.25" style="48" customWidth="1"/>
    <col min="11000" max="11000" width="8" style="48" customWidth="1"/>
    <col min="11001" max="11001" width="6" style="48" customWidth="1"/>
    <col min="11002" max="11248" width="9" style="48"/>
    <col min="11249" max="11249" width="65.375" style="48" customWidth="1"/>
    <col min="11250" max="11255" width="21.25" style="48" customWidth="1"/>
    <col min="11256" max="11256" width="8" style="48" customWidth="1"/>
    <col min="11257" max="11257" width="6" style="48" customWidth="1"/>
    <col min="11258" max="11504" width="9" style="48"/>
    <col min="11505" max="11505" width="65.375" style="48" customWidth="1"/>
    <col min="11506" max="11511" width="21.25" style="48" customWidth="1"/>
    <col min="11512" max="11512" width="8" style="48" customWidth="1"/>
    <col min="11513" max="11513" width="6" style="48" customWidth="1"/>
    <col min="11514" max="11760" width="9" style="48"/>
    <col min="11761" max="11761" width="65.375" style="48" customWidth="1"/>
    <col min="11762" max="11767" width="21.25" style="48" customWidth="1"/>
    <col min="11768" max="11768" width="8" style="48" customWidth="1"/>
    <col min="11769" max="11769" width="6" style="48" customWidth="1"/>
    <col min="11770" max="12016" width="9" style="48"/>
    <col min="12017" max="12017" width="65.375" style="48" customWidth="1"/>
    <col min="12018" max="12023" width="21.25" style="48" customWidth="1"/>
    <col min="12024" max="12024" width="8" style="48" customWidth="1"/>
    <col min="12025" max="12025" width="6" style="48" customWidth="1"/>
    <col min="12026" max="12272" width="9" style="48"/>
    <col min="12273" max="12273" width="65.375" style="48" customWidth="1"/>
    <col min="12274" max="12279" width="21.25" style="48" customWidth="1"/>
    <col min="12280" max="12280" width="8" style="48" customWidth="1"/>
    <col min="12281" max="12281" width="6" style="48" customWidth="1"/>
    <col min="12282" max="12528" width="9" style="48"/>
    <col min="12529" max="12529" width="65.375" style="48" customWidth="1"/>
    <col min="12530" max="12535" width="21.25" style="48" customWidth="1"/>
    <col min="12536" max="12536" width="8" style="48" customWidth="1"/>
    <col min="12537" max="12537" width="6" style="48" customWidth="1"/>
    <col min="12538" max="12784" width="9" style="48"/>
    <col min="12785" max="12785" width="65.375" style="48" customWidth="1"/>
    <col min="12786" max="12791" width="21.25" style="48" customWidth="1"/>
    <col min="12792" max="12792" width="8" style="48" customWidth="1"/>
    <col min="12793" max="12793" width="6" style="48" customWidth="1"/>
    <col min="12794" max="13040" width="9" style="48"/>
    <col min="13041" max="13041" width="65.375" style="48" customWidth="1"/>
    <col min="13042" max="13047" width="21.25" style="48" customWidth="1"/>
    <col min="13048" max="13048" width="8" style="48" customWidth="1"/>
    <col min="13049" max="13049" width="6" style="48" customWidth="1"/>
    <col min="13050" max="13296" width="9" style="48"/>
    <col min="13297" max="13297" width="65.375" style="48" customWidth="1"/>
    <col min="13298" max="13303" width="21.25" style="48" customWidth="1"/>
    <col min="13304" max="13304" width="8" style="48" customWidth="1"/>
    <col min="13305" max="13305" width="6" style="48" customWidth="1"/>
    <col min="13306" max="13552" width="9" style="48"/>
    <col min="13553" max="13553" width="65.375" style="48" customWidth="1"/>
    <col min="13554" max="13559" width="21.25" style="48" customWidth="1"/>
    <col min="13560" max="13560" width="8" style="48" customWidth="1"/>
    <col min="13561" max="13561" width="6" style="48" customWidth="1"/>
    <col min="13562" max="13808" width="9" style="48"/>
    <col min="13809" max="13809" width="65.375" style="48" customWidth="1"/>
    <col min="13810" max="13815" width="21.25" style="48" customWidth="1"/>
    <col min="13816" max="13816" width="8" style="48" customWidth="1"/>
    <col min="13817" max="13817" width="6" style="48" customWidth="1"/>
    <col min="13818" max="14064" width="9" style="48"/>
    <col min="14065" max="14065" width="65.375" style="48" customWidth="1"/>
    <col min="14066" max="14071" width="21.25" style="48" customWidth="1"/>
    <col min="14072" max="14072" width="8" style="48" customWidth="1"/>
    <col min="14073" max="14073" width="6" style="48" customWidth="1"/>
    <col min="14074" max="14320" width="9" style="48"/>
    <col min="14321" max="14321" width="65.375" style="48" customWidth="1"/>
    <col min="14322" max="14327" width="21.25" style="48" customWidth="1"/>
    <col min="14328" max="14328" width="8" style="48" customWidth="1"/>
    <col min="14329" max="14329" width="6" style="48" customWidth="1"/>
    <col min="14330" max="14576" width="9" style="48"/>
    <col min="14577" max="14577" width="65.375" style="48" customWidth="1"/>
    <col min="14578" max="14583" width="21.25" style="48" customWidth="1"/>
    <col min="14584" max="14584" width="8" style="48" customWidth="1"/>
    <col min="14585" max="14585" width="6" style="48" customWidth="1"/>
    <col min="14586" max="14832" width="9" style="48"/>
    <col min="14833" max="14833" width="65.375" style="48" customWidth="1"/>
    <col min="14834" max="14839" width="21.25" style="48" customWidth="1"/>
    <col min="14840" max="14840" width="8" style="48" customWidth="1"/>
    <col min="14841" max="14841" width="6" style="48" customWidth="1"/>
    <col min="14842" max="15088" width="9" style="48"/>
    <col min="15089" max="15089" width="65.375" style="48" customWidth="1"/>
    <col min="15090" max="15095" width="21.25" style="48" customWidth="1"/>
    <col min="15096" max="15096" width="8" style="48" customWidth="1"/>
    <col min="15097" max="15097" width="6" style="48" customWidth="1"/>
    <col min="15098" max="15344" width="9" style="48"/>
    <col min="15345" max="15345" width="65.375" style="48" customWidth="1"/>
    <col min="15346" max="15351" width="21.25" style="48" customWidth="1"/>
    <col min="15352" max="15352" width="8" style="48" customWidth="1"/>
    <col min="15353" max="15353" width="6" style="48" customWidth="1"/>
    <col min="15354" max="15600" width="9" style="48"/>
    <col min="15601" max="15601" width="65.375" style="48" customWidth="1"/>
    <col min="15602" max="15607" width="21.25" style="48" customWidth="1"/>
    <col min="15608" max="15608" width="8" style="48" customWidth="1"/>
    <col min="15609" max="15609" width="6" style="48" customWidth="1"/>
    <col min="15610" max="15856" width="9" style="48"/>
    <col min="15857" max="15857" width="65.375" style="48" customWidth="1"/>
    <col min="15858" max="15863" width="21.25" style="48" customWidth="1"/>
    <col min="15864" max="15864" width="8" style="48" customWidth="1"/>
    <col min="15865" max="15865" width="6" style="48" customWidth="1"/>
    <col min="15866" max="16112" width="9" style="48"/>
    <col min="16113" max="16113" width="65.375" style="48" customWidth="1"/>
    <col min="16114" max="16119" width="21.25" style="48" customWidth="1"/>
    <col min="16120" max="16120" width="8" style="48" customWidth="1"/>
    <col min="16121" max="16121" width="6" style="48" customWidth="1"/>
    <col min="16122" max="16384" width="9" style="48"/>
  </cols>
  <sheetData>
    <row r="1" spans="1:7" s="8" customFormat="1" ht="20.100000000000001" customHeight="1">
      <c r="A1" s="52" t="s">
        <v>164</v>
      </c>
      <c r="B1" s="4"/>
      <c r="C1" s="4"/>
      <c r="D1" s="65"/>
    </row>
    <row r="2" spans="1:7" s="44" customFormat="1" ht="39.75" customHeight="1">
      <c r="A2" s="298" t="s">
        <v>1152</v>
      </c>
      <c r="B2" s="298"/>
      <c r="C2" s="298"/>
      <c r="D2" s="298"/>
      <c r="E2" s="298"/>
      <c r="F2" s="298"/>
    </row>
    <row r="3" spans="1:7" s="44" customFormat="1" ht="24.75" customHeight="1" thickBot="1">
      <c r="A3" s="110"/>
      <c r="B3" s="110"/>
      <c r="C3" s="111"/>
      <c r="D3" s="110"/>
      <c r="E3" s="110"/>
      <c r="F3" s="111" t="s">
        <v>0</v>
      </c>
    </row>
    <row r="4" spans="1:7" s="44" customFormat="1" ht="18" customHeight="1">
      <c r="A4" s="299" t="s">
        <v>99</v>
      </c>
      <c r="B4" s="297"/>
      <c r="C4" s="297"/>
      <c r="D4" s="296" t="s">
        <v>100</v>
      </c>
      <c r="E4" s="297"/>
      <c r="F4" s="297"/>
    </row>
    <row r="5" spans="1:7" s="44" customFormat="1" ht="18" customHeight="1" thickBot="1">
      <c r="A5" s="113" t="s">
        <v>101</v>
      </c>
      <c r="B5" s="114" t="s">
        <v>102</v>
      </c>
      <c r="C5" s="115" t="s">
        <v>1056</v>
      </c>
      <c r="D5" s="116" t="s">
        <v>103</v>
      </c>
      <c r="E5" s="117" t="s">
        <v>102</v>
      </c>
      <c r="F5" s="115" t="s">
        <v>1056</v>
      </c>
    </row>
    <row r="6" spans="1:7" s="228" customFormat="1" ht="21" customHeight="1">
      <c r="A6" s="216" t="s">
        <v>104</v>
      </c>
      <c r="B6" s="226"/>
      <c r="C6" s="225">
        <v>11480</v>
      </c>
      <c r="D6" s="216" t="s">
        <v>105</v>
      </c>
      <c r="E6" s="219"/>
      <c r="F6" s="219">
        <f>C6+C32-747-F32</f>
        <v>28174</v>
      </c>
      <c r="G6" s="227"/>
    </row>
    <row r="7" spans="1:7" s="228" customFormat="1" ht="21" customHeight="1">
      <c r="A7" s="216" t="s">
        <v>1107</v>
      </c>
      <c r="B7" s="217"/>
      <c r="C7" s="225">
        <f>C8+C13+C31</f>
        <v>184962</v>
      </c>
      <c r="D7" s="216" t="s">
        <v>1108</v>
      </c>
      <c r="E7" s="219"/>
      <c r="F7" s="219">
        <f>F8+F13+F31</f>
        <v>186049</v>
      </c>
    </row>
    <row r="8" spans="1:7" s="228" customFormat="1" ht="21" customHeight="1">
      <c r="A8" s="216" t="s">
        <v>106</v>
      </c>
      <c r="B8" s="217"/>
      <c r="C8" s="225">
        <f>SUM(C9:C12)</f>
        <v>3100</v>
      </c>
      <c r="D8" s="216" t="s">
        <v>107</v>
      </c>
      <c r="E8" s="219"/>
      <c r="F8" s="219">
        <v>3100</v>
      </c>
    </row>
    <row r="9" spans="1:7" s="228" customFormat="1" ht="21" customHeight="1">
      <c r="A9" s="216" t="s">
        <v>108</v>
      </c>
      <c r="B9" s="217"/>
      <c r="C9" s="218">
        <v>93</v>
      </c>
      <c r="D9" s="216" t="s">
        <v>108</v>
      </c>
      <c r="E9" s="219"/>
      <c r="F9" s="219">
        <v>92</v>
      </c>
    </row>
    <row r="10" spans="1:7" s="228" customFormat="1" ht="21" customHeight="1">
      <c r="A10" s="216" t="s">
        <v>109</v>
      </c>
      <c r="B10" s="217"/>
      <c r="C10" s="218">
        <v>2444</v>
      </c>
      <c r="D10" s="216" t="s">
        <v>109</v>
      </c>
      <c r="E10" s="219"/>
      <c r="F10" s="219">
        <v>2444</v>
      </c>
    </row>
    <row r="11" spans="1:7" s="228" customFormat="1" ht="21" customHeight="1">
      <c r="A11" s="216" t="s">
        <v>110</v>
      </c>
      <c r="B11" s="217"/>
      <c r="C11" s="218"/>
      <c r="D11" s="216" t="s">
        <v>110</v>
      </c>
      <c r="E11" s="219"/>
      <c r="F11" s="219"/>
    </row>
    <row r="12" spans="1:7" s="228" customFormat="1" ht="21" customHeight="1">
      <c r="A12" s="216" t="s">
        <v>1147</v>
      </c>
      <c r="B12" s="217"/>
      <c r="C12" s="225">
        <v>563</v>
      </c>
      <c r="D12" s="272" t="s">
        <v>1147</v>
      </c>
      <c r="E12" s="219"/>
      <c r="F12" s="219">
        <v>563</v>
      </c>
    </row>
    <row r="13" spans="1:7" s="229" customFormat="1" ht="21" customHeight="1">
      <c r="A13" s="216" t="s">
        <v>111</v>
      </c>
      <c r="B13" s="217"/>
      <c r="C13" s="225">
        <f>SUM(C14:C30)</f>
        <v>74949</v>
      </c>
      <c r="D13" s="216" t="s">
        <v>111</v>
      </c>
      <c r="E13" s="219"/>
      <c r="F13" s="219">
        <f>SUM(F14:F30)</f>
        <v>74949</v>
      </c>
    </row>
    <row r="14" spans="1:7" s="46" customFormat="1" ht="21" customHeight="1">
      <c r="A14" s="105" t="s">
        <v>112</v>
      </c>
      <c r="B14" s="108"/>
      <c r="C14" s="106"/>
      <c r="D14" s="105" t="s">
        <v>112</v>
      </c>
      <c r="E14" s="107"/>
      <c r="F14" s="107"/>
    </row>
    <row r="15" spans="1:7" s="44" customFormat="1" ht="21" customHeight="1">
      <c r="A15" s="105" t="s">
        <v>113</v>
      </c>
      <c r="B15" s="108"/>
      <c r="C15" s="109">
        <v>18705</v>
      </c>
      <c r="D15" s="105" t="s">
        <v>113</v>
      </c>
      <c r="E15" s="107"/>
      <c r="F15" s="107">
        <v>18705</v>
      </c>
    </row>
    <row r="16" spans="1:7" s="44" customFormat="1" ht="21" customHeight="1">
      <c r="A16" s="105" t="s">
        <v>114</v>
      </c>
      <c r="B16" s="108"/>
      <c r="C16" s="109">
        <v>4306</v>
      </c>
      <c r="D16" s="105" t="s">
        <v>114</v>
      </c>
      <c r="E16" s="107"/>
      <c r="F16" s="107">
        <v>4306</v>
      </c>
    </row>
    <row r="17" spans="1:6" s="46" customFormat="1" ht="21" customHeight="1">
      <c r="A17" s="105" t="s">
        <v>115</v>
      </c>
      <c r="B17" s="108"/>
      <c r="C17" s="109">
        <v>6372</v>
      </c>
      <c r="D17" s="105" t="s">
        <v>115</v>
      </c>
      <c r="E17" s="107"/>
      <c r="F17" s="107">
        <v>6372</v>
      </c>
    </row>
    <row r="18" spans="1:6" s="46" customFormat="1" ht="21" customHeight="1">
      <c r="A18" s="105" t="s">
        <v>116</v>
      </c>
      <c r="B18" s="108"/>
      <c r="C18" s="109">
        <v>10286</v>
      </c>
      <c r="D18" s="105" t="s">
        <v>116</v>
      </c>
      <c r="E18" s="107"/>
      <c r="F18" s="107">
        <v>10286</v>
      </c>
    </row>
    <row r="19" spans="1:6" s="44" customFormat="1" ht="21" customHeight="1">
      <c r="A19" s="105" t="s">
        <v>117</v>
      </c>
      <c r="B19" s="108"/>
      <c r="C19" s="109"/>
      <c r="D19" s="105" t="s">
        <v>117</v>
      </c>
      <c r="E19" s="107"/>
      <c r="F19" s="107"/>
    </row>
    <row r="20" spans="1:6" s="44" customFormat="1" ht="21" customHeight="1">
      <c r="A20" s="105" t="s">
        <v>118</v>
      </c>
      <c r="B20" s="108"/>
      <c r="C20" s="109">
        <v>375</v>
      </c>
      <c r="D20" s="105" t="s">
        <v>118</v>
      </c>
      <c r="E20" s="107"/>
      <c r="F20" s="107">
        <v>375</v>
      </c>
    </row>
    <row r="21" spans="1:6" s="44" customFormat="1" ht="21" customHeight="1">
      <c r="A21" s="105" t="s">
        <v>119</v>
      </c>
      <c r="B21" s="108"/>
      <c r="C21" s="109">
        <v>77</v>
      </c>
      <c r="D21" s="105" t="s">
        <v>119</v>
      </c>
      <c r="E21" s="107"/>
      <c r="F21" s="107">
        <v>77</v>
      </c>
    </row>
    <row r="22" spans="1:6" s="46" customFormat="1" ht="21" customHeight="1">
      <c r="A22" s="105" t="s">
        <v>120</v>
      </c>
      <c r="B22" s="108"/>
      <c r="C22" s="109">
        <v>385</v>
      </c>
      <c r="D22" s="105" t="s">
        <v>120</v>
      </c>
      <c r="E22" s="107"/>
      <c r="F22" s="107">
        <v>385</v>
      </c>
    </row>
    <row r="23" spans="1:6" ht="21" customHeight="1">
      <c r="A23" s="105" t="s">
        <v>121</v>
      </c>
      <c r="B23" s="108"/>
      <c r="C23" s="109">
        <v>2030</v>
      </c>
      <c r="D23" s="105" t="s">
        <v>121</v>
      </c>
      <c r="E23" s="107"/>
      <c r="F23" s="107">
        <v>2030</v>
      </c>
    </row>
    <row r="24" spans="1:6" ht="21" customHeight="1">
      <c r="A24" s="105" t="s">
        <v>122</v>
      </c>
      <c r="B24" s="108"/>
      <c r="C24" s="109">
        <v>956</v>
      </c>
      <c r="D24" s="105" t="s">
        <v>122</v>
      </c>
      <c r="E24" s="107"/>
      <c r="F24" s="107">
        <v>956</v>
      </c>
    </row>
    <row r="25" spans="1:6" ht="21" customHeight="1">
      <c r="A25" s="105" t="s">
        <v>123</v>
      </c>
      <c r="B25" s="108"/>
      <c r="C25" s="109"/>
      <c r="D25" s="105" t="s">
        <v>123</v>
      </c>
      <c r="E25" s="107"/>
      <c r="F25" s="107"/>
    </row>
    <row r="26" spans="1:6" ht="21" customHeight="1">
      <c r="A26" s="105" t="s">
        <v>124</v>
      </c>
      <c r="B26" s="108"/>
      <c r="C26" s="109">
        <v>1175</v>
      </c>
      <c r="D26" s="105" t="s">
        <v>124</v>
      </c>
      <c r="E26" s="107"/>
      <c r="F26" s="107">
        <v>1175</v>
      </c>
    </row>
    <row r="27" spans="1:6" ht="21" customHeight="1">
      <c r="A27" s="105" t="s">
        <v>125</v>
      </c>
      <c r="B27" s="108"/>
      <c r="C27" s="109"/>
      <c r="D27" s="105" t="s">
        <v>125</v>
      </c>
      <c r="E27" s="107"/>
      <c r="F27" s="107"/>
    </row>
    <row r="28" spans="1:6" ht="21" customHeight="1">
      <c r="A28" s="105" t="s">
        <v>126</v>
      </c>
      <c r="B28" s="108"/>
      <c r="C28" s="109">
        <v>7376</v>
      </c>
      <c r="D28" s="105" t="s">
        <v>126</v>
      </c>
      <c r="E28" s="107"/>
      <c r="F28" s="107">
        <v>7376</v>
      </c>
    </row>
    <row r="29" spans="1:6" ht="21" customHeight="1">
      <c r="A29" s="105" t="s">
        <v>127</v>
      </c>
      <c r="B29" s="108"/>
      <c r="C29" s="109">
        <v>14744</v>
      </c>
      <c r="D29" s="105" t="s">
        <v>127</v>
      </c>
      <c r="E29" s="107"/>
      <c r="F29" s="107">
        <v>14744</v>
      </c>
    </row>
    <row r="30" spans="1:6" ht="21" customHeight="1">
      <c r="A30" s="105" t="s">
        <v>128</v>
      </c>
      <c r="B30" s="108"/>
      <c r="C30" s="109">
        <f>8009+153</f>
        <v>8162</v>
      </c>
      <c r="D30" s="105" t="s">
        <v>128</v>
      </c>
      <c r="E30" s="107"/>
      <c r="F30" s="107">
        <v>8162</v>
      </c>
    </row>
    <row r="31" spans="1:6" s="220" customFormat="1" ht="21" customHeight="1">
      <c r="A31" s="216" t="s">
        <v>129</v>
      </c>
      <c r="B31" s="217"/>
      <c r="C31" s="218">
        <v>106913</v>
      </c>
      <c r="D31" s="216" t="s">
        <v>129</v>
      </c>
      <c r="E31" s="219"/>
      <c r="F31" s="219">
        <f>C31-F38+C34</f>
        <v>108000</v>
      </c>
    </row>
    <row r="32" spans="1:6" s="220" customFormat="1" ht="21" customHeight="1">
      <c r="A32" s="216" t="s">
        <v>130</v>
      </c>
      <c r="B32" s="217"/>
      <c r="C32" s="218">
        <v>20747</v>
      </c>
      <c r="D32" s="216" t="s">
        <v>1057</v>
      </c>
      <c r="E32" s="219"/>
      <c r="F32" s="219">
        <v>3306</v>
      </c>
    </row>
    <row r="33" spans="1:6" s="220" customFormat="1" ht="21" customHeight="1">
      <c r="A33" s="216" t="s">
        <v>131</v>
      </c>
      <c r="B33" s="217"/>
      <c r="C33" s="218"/>
      <c r="D33" s="216" t="s">
        <v>132</v>
      </c>
      <c r="E33" s="219"/>
      <c r="F33" s="219"/>
    </row>
    <row r="34" spans="1:6" s="220" customFormat="1" ht="21" customHeight="1">
      <c r="A34" s="216" t="s">
        <v>133</v>
      </c>
      <c r="B34" s="217"/>
      <c r="C34" s="218">
        <v>1856</v>
      </c>
      <c r="D34" s="216" t="s">
        <v>134</v>
      </c>
      <c r="E34" s="219"/>
      <c r="F34" s="219">
        <v>747</v>
      </c>
    </row>
    <row r="35" spans="1:6" s="220" customFormat="1" ht="21" customHeight="1">
      <c r="A35" s="216" t="s">
        <v>135</v>
      </c>
      <c r="B35" s="217"/>
      <c r="C35" s="218"/>
      <c r="D35" s="216" t="s">
        <v>136</v>
      </c>
      <c r="E35" s="219"/>
      <c r="F35" s="219"/>
    </row>
    <row r="36" spans="1:6" s="220" customFormat="1" ht="21" customHeight="1">
      <c r="A36" s="216" t="s">
        <v>137</v>
      </c>
      <c r="B36" s="217"/>
      <c r="C36" s="218"/>
      <c r="D36" s="216" t="s">
        <v>138</v>
      </c>
      <c r="E36" s="219"/>
      <c r="F36" s="219"/>
    </row>
    <row r="37" spans="1:6" s="220" customFormat="1" ht="21" customHeight="1" thickBot="1">
      <c r="A37" s="221" t="s">
        <v>139</v>
      </c>
      <c r="B37" s="222"/>
      <c r="C37" s="223"/>
      <c r="D37" s="221" t="s">
        <v>140</v>
      </c>
      <c r="E37" s="224"/>
      <c r="F37" s="224"/>
    </row>
    <row r="38" spans="1:6" s="220" customFormat="1" ht="21" customHeight="1">
      <c r="A38" s="216"/>
      <c r="B38" s="217"/>
      <c r="C38" s="225"/>
      <c r="D38" s="216" t="s">
        <v>141</v>
      </c>
      <c r="E38" s="219"/>
      <c r="F38" s="219">
        <v>769</v>
      </c>
    </row>
    <row r="39" spans="1:6" ht="21" customHeight="1">
      <c r="A39" s="105"/>
      <c r="B39" s="108"/>
      <c r="C39" s="106"/>
      <c r="D39" s="105" t="s">
        <v>142</v>
      </c>
      <c r="E39" s="107"/>
      <c r="F39" s="107"/>
    </row>
    <row r="40" spans="1:6" ht="21" customHeight="1">
      <c r="A40" s="105"/>
      <c r="B40" s="108"/>
      <c r="C40" s="106"/>
      <c r="D40" s="105" t="s">
        <v>143</v>
      </c>
      <c r="E40" s="107"/>
      <c r="F40" s="107"/>
    </row>
    <row r="41" spans="1:6" ht="21" customHeight="1" thickBot="1">
      <c r="A41" s="118" t="s">
        <v>144</v>
      </c>
      <c r="B41" s="119"/>
      <c r="C41" s="120">
        <f>C6+C7+C32+C33+C34+C35+C36+C37</f>
        <v>219045</v>
      </c>
      <c r="D41" s="118" t="s">
        <v>145</v>
      </c>
      <c r="E41" s="121"/>
      <c r="F41" s="121">
        <f>F6+F7+F32+F34+F33+F36+F38</f>
        <v>219045</v>
      </c>
    </row>
  </sheetData>
  <mergeCells count="3">
    <mergeCell ref="D4:F4"/>
    <mergeCell ref="A2:F2"/>
    <mergeCell ref="A4:C4"/>
  </mergeCells>
  <phoneticPr fontId="1" type="noConversion"/>
  <pageMargins left="0.6692913385826772" right="0.74803149606299213" top="0.86" bottom="0.64" header="0.31496062992125984" footer="0.31496062992125984"/>
  <pageSetup paperSize="9" scale="7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7"/>
  <sheetViews>
    <sheetView workbookViewId="0">
      <selection activeCell="D23" sqref="D23"/>
    </sheetView>
  </sheetViews>
  <sheetFormatPr defaultRowHeight="13.5"/>
  <cols>
    <col min="1" max="1" width="12.375" customWidth="1"/>
    <col min="2" max="2" width="14.875" customWidth="1"/>
    <col min="3" max="3" width="19.25" customWidth="1"/>
    <col min="4" max="4" width="20.75" customWidth="1"/>
    <col min="5" max="5" width="14.5" customWidth="1"/>
  </cols>
  <sheetData>
    <row r="1" spans="1:5">
      <c r="A1" s="248" t="s">
        <v>1111</v>
      </c>
    </row>
    <row r="3" spans="1:5" ht="25.5">
      <c r="A3" s="300" t="s">
        <v>1153</v>
      </c>
      <c r="B3" s="300"/>
      <c r="C3" s="300"/>
      <c r="D3" s="300"/>
      <c r="E3" s="300"/>
    </row>
    <row r="4" spans="1:5" ht="15" thickBot="1">
      <c r="A4" s="301" t="s">
        <v>1112</v>
      </c>
      <c r="B4" s="301"/>
      <c r="C4" s="301"/>
      <c r="D4" s="301"/>
      <c r="E4" s="301"/>
    </row>
    <row r="5" spans="1:5" ht="14.25">
      <c r="A5" s="249" t="s">
        <v>1113</v>
      </c>
      <c r="B5" s="250" t="s">
        <v>1114</v>
      </c>
      <c r="C5" s="250" t="s">
        <v>1115</v>
      </c>
      <c r="D5" s="250" t="s">
        <v>1116</v>
      </c>
      <c r="E5" s="251" t="s">
        <v>1117</v>
      </c>
    </row>
    <row r="6" spans="1:5" ht="18.75" customHeight="1">
      <c r="A6" s="252" t="s">
        <v>1118</v>
      </c>
      <c r="B6" s="267">
        <f>B7</f>
        <v>3100</v>
      </c>
      <c r="C6" s="267">
        <f t="shared" ref="C6:E6" si="0">C7</f>
        <v>74949</v>
      </c>
      <c r="D6" s="267">
        <f t="shared" si="0"/>
        <v>106913</v>
      </c>
      <c r="E6" s="267">
        <f t="shared" si="0"/>
        <v>184962</v>
      </c>
    </row>
    <row r="7" spans="1:5" ht="18.75" customHeight="1" thickBot="1">
      <c r="A7" s="253" t="s">
        <v>1123</v>
      </c>
      <c r="B7" s="254">
        <v>3100</v>
      </c>
      <c r="C7" s="254">
        <v>74949</v>
      </c>
      <c r="D7" s="254">
        <v>106913</v>
      </c>
      <c r="E7" s="255">
        <f>SUM(B7:D7)</f>
        <v>184962</v>
      </c>
    </row>
    <row r="16" spans="1:5">
      <c r="D16" s="268"/>
    </row>
    <row r="17" spans="4:4">
      <c r="D17" s="268"/>
    </row>
  </sheetData>
  <mergeCells count="2">
    <mergeCell ref="A3:E3"/>
    <mergeCell ref="A4:E4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26"/>
  <sheetViews>
    <sheetView workbookViewId="0">
      <selection activeCell="B25" sqref="B25"/>
    </sheetView>
  </sheetViews>
  <sheetFormatPr defaultRowHeight="13.5"/>
  <cols>
    <col min="1" max="1" width="52.625" customWidth="1"/>
    <col min="2" max="2" width="27.625" customWidth="1"/>
  </cols>
  <sheetData>
    <row r="1" spans="1:2">
      <c r="A1" s="248" t="s">
        <v>1119</v>
      </c>
      <c r="B1" s="256"/>
    </row>
    <row r="2" spans="1:2" ht="25.5">
      <c r="A2" s="302" t="s">
        <v>1154</v>
      </c>
      <c r="B2" s="302"/>
    </row>
    <row r="3" spans="1:2">
      <c r="A3" s="257"/>
      <c r="B3" s="258"/>
    </row>
    <row r="4" spans="1:2" ht="15" thickBot="1">
      <c r="A4" s="259"/>
      <c r="B4" s="260" t="s">
        <v>0</v>
      </c>
    </row>
    <row r="5" spans="1:2">
      <c r="A5" s="261" t="s">
        <v>1120</v>
      </c>
      <c r="B5" s="262" t="s">
        <v>1121</v>
      </c>
    </row>
    <row r="6" spans="1:2" ht="24" customHeight="1">
      <c r="A6" s="270" t="s">
        <v>1122</v>
      </c>
      <c r="B6" s="271">
        <f>SUM(B7:B26)</f>
        <v>106913</v>
      </c>
    </row>
    <row r="7" spans="1:2" ht="24" customHeight="1">
      <c r="A7" s="269" t="s">
        <v>1124</v>
      </c>
      <c r="B7" s="263">
        <v>2190</v>
      </c>
    </row>
    <row r="8" spans="1:2" ht="24" customHeight="1">
      <c r="A8" s="264" t="s">
        <v>1125</v>
      </c>
      <c r="B8" s="263"/>
    </row>
    <row r="9" spans="1:2" ht="24" customHeight="1">
      <c r="A9" s="264" t="s">
        <v>1126</v>
      </c>
      <c r="B9" s="263">
        <v>155</v>
      </c>
    </row>
    <row r="10" spans="1:2" ht="24" customHeight="1">
      <c r="A10" s="264" t="s">
        <v>1127</v>
      </c>
      <c r="B10" s="263">
        <v>3421</v>
      </c>
    </row>
    <row r="11" spans="1:2" ht="24" customHeight="1">
      <c r="A11" s="264" t="s">
        <v>1128</v>
      </c>
      <c r="B11" s="263">
        <v>140</v>
      </c>
    </row>
    <row r="12" spans="1:2" ht="24" customHeight="1">
      <c r="A12" s="264" t="s">
        <v>1129</v>
      </c>
      <c r="B12" s="263">
        <v>405</v>
      </c>
    </row>
    <row r="13" spans="1:2" ht="24" customHeight="1">
      <c r="A13" s="264" t="s">
        <v>1130</v>
      </c>
      <c r="B13" s="263">
        <v>4671</v>
      </c>
    </row>
    <row r="14" spans="1:2" ht="24" customHeight="1">
      <c r="A14" s="264" t="s">
        <v>1131</v>
      </c>
      <c r="B14" s="263">
        <v>2776</v>
      </c>
    </row>
    <row r="15" spans="1:2" ht="24" customHeight="1">
      <c r="A15" s="264" t="s">
        <v>1132</v>
      </c>
      <c r="B15" s="263">
        <v>10594</v>
      </c>
    </row>
    <row r="16" spans="1:2" ht="24" customHeight="1">
      <c r="A16" s="264" t="s">
        <v>1133</v>
      </c>
      <c r="B16" s="263">
        <v>10732</v>
      </c>
    </row>
    <row r="17" spans="1:2" ht="24" customHeight="1">
      <c r="A17" s="264" t="s">
        <v>1134</v>
      </c>
      <c r="B17" s="263">
        <v>40558</v>
      </c>
    </row>
    <row r="18" spans="1:2" ht="24" customHeight="1">
      <c r="A18" s="264" t="s">
        <v>1135</v>
      </c>
      <c r="B18" s="263">
        <v>4536</v>
      </c>
    </row>
    <row r="19" spans="1:2" ht="24" customHeight="1">
      <c r="A19" s="264" t="s">
        <v>1136</v>
      </c>
      <c r="B19" s="263">
        <v>41</v>
      </c>
    </row>
    <row r="20" spans="1:2" ht="24" customHeight="1">
      <c r="A20" s="264" t="s">
        <v>1137</v>
      </c>
      <c r="B20" s="263">
        <v>2670</v>
      </c>
    </row>
    <row r="21" spans="1:2" ht="24" customHeight="1">
      <c r="A21" s="264" t="s">
        <v>1138</v>
      </c>
      <c r="B21" s="263"/>
    </row>
    <row r="22" spans="1:2" ht="24" customHeight="1">
      <c r="A22" s="264" t="s">
        <v>1139</v>
      </c>
      <c r="B22" s="263"/>
    </row>
    <row r="23" spans="1:2" ht="24" customHeight="1">
      <c r="A23" s="264" t="s">
        <v>1140</v>
      </c>
      <c r="B23" s="263">
        <v>100</v>
      </c>
    </row>
    <row r="24" spans="1:2" ht="24" customHeight="1">
      <c r="A24" s="264" t="s">
        <v>1141</v>
      </c>
      <c r="B24" s="263">
        <v>23324</v>
      </c>
    </row>
    <row r="25" spans="1:2" ht="24" customHeight="1">
      <c r="A25" s="264" t="s">
        <v>1142</v>
      </c>
      <c r="B25" s="263"/>
    </row>
    <row r="26" spans="1:2" ht="24" customHeight="1" thickBot="1">
      <c r="A26" s="265" t="s">
        <v>1143</v>
      </c>
      <c r="B26" s="266">
        <v>600</v>
      </c>
    </row>
  </sheetData>
  <mergeCells count="1">
    <mergeCell ref="A2:B2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B27"/>
  <sheetViews>
    <sheetView topLeftCell="A4" workbookViewId="0">
      <selection activeCell="E6" sqref="E6"/>
    </sheetView>
  </sheetViews>
  <sheetFormatPr defaultRowHeight="15"/>
  <cols>
    <col min="1" max="1" width="39.5" style="4" customWidth="1"/>
    <col min="2" max="2" width="10.375" style="4" customWidth="1"/>
    <col min="3" max="3" width="9.875" style="4" customWidth="1"/>
    <col min="4" max="4" width="9.875" style="153" customWidth="1"/>
    <col min="5" max="5" width="10" style="153" customWidth="1"/>
    <col min="6" max="6" width="27" style="4" customWidth="1"/>
    <col min="7" max="28" width="9" style="4"/>
    <col min="29" max="16384" width="9" style="8"/>
  </cols>
  <sheetData>
    <row r="1" spans="1:28" ht="20.100000000000001" customHeight="1">
      <c r="A1" s="52" t="s">
        <v>163</v>
      </c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</row>
    <row r="2" spans="1:28" s="3" customFormat="1" ht="50.1" customHeight="1">
      <c r="A2" s="287" t="s">
        <v>1156</v>
      </c>
      <c r="B2" s="287"/>
      <c r="C2" s="287"/>
      <c r="D2" s="287"/>
      <c r="E2" s="287"/>
      <c r="F2" s="13"/>
    </row>
    <row r="3" spans="1:28" s="14" customFormat="1" ht="24" customHeight="1" thickBot="1">
      <c r="A3" s="32"/>
      <c r="B3" s="32"/>
      <c r="C3" s="32"/>
      <c r="D3" s="186"/>
      <c r="E3" s="237" t="s">
        <v>0</v>
      </c>
      <c r="F3" s="5"/>
    </row>
    <row r="4" spans="1:28" s="14" customFormat="1" ht="24" customHeight="1">
      <c r="A4" s="303" t="s">
        <v>3</v>
      </c>
      <c r="B4" s="305" t="s">
        <v>1058</v>
      </c>
      <c r="C4" s="307" t="s">
        <v>1065</v>
      </c>
      <c r="D4" s="311" t="s">
        <v>53</v>
      </c>
      <c r="E4" s="309" t="s">
        <v>1066</v>
      </c>
      <c r="F4" s="54"/>
    </row>
    <row r="5" spans="1:28" s="14" customFormat="1" ht="24" customHeight="1" thickBot="1">
      <c r="A5" s="304"/>
      <c r="B5" s="306"/>
      <c r="C5" s="308"/>
      <c r="D5" s="312"/>
      <c r="E5" s="310"/>
      <c r="F5" s="55"/>
    </row>
    <row r="6" spans="1:28" s="14" customFormat="1" ht="24.75" customHeight="1">
      <c r="A6" s="60" t="s">
        <v>48</v>
      </c>
      <c r="B6" s="36">
        <f>SUM(B7:B22)</f>
        <v>400</v>
      </c>
      <c r="C6" s="36">
        <f t="shared" ref="C6" si="0">SUM(C7:C22)</f>
        <v>404</v>
      </c>
      <c r="D6" s="187">
        <f>C6/B6</f>
        <v>1.01</v>
      </c>
      <c r="E6" s="187">
        <f>C6/669</f>
        <v>0.60388639760837071</v>
      </c>
      <c r="F6" s="15"/>
      <c r="G6" s="16"/>
      <c r="Z6" s="17"/>
      <c r="AA6" s="18"/>
    </row>
    <row r="7" spans="1:28" s="14" customFormat="1" ht="24.75" customHeight="1">
      <c r="A7" s="34" t="s">
        <v>4</v>
      </c>
      <c r="B7" s="35"/>
      <c r="C7" s="36"/>
      <c r="D7" s="187"/>
      <c r="E7" s="187"/>
      <c r="F7" s="15"/>
      <c r="Z7" s="17"/>
      <c r="AA7" s="18"/>
    </row>
    <row r="8" spans="1:28" s="14" customFormat="1" ht="24.75" customHeight="1">
      <c r="A8" s="53" t="s">
        <v>68</v>
      </c>
      <c r="B8" s="35"/>
      <c r="C8" s="67"/>
      <c r="D8" s="187"/>
      <c r="E8" s="188"/>
      <c r="F8" s="15"/>
      <c r="Z8" s="17"/>
      <c r="AA8" s="18"/>
    </row>
    <row r="9" spans="1:28" s="14" customFormat="1" ht="24.75" customHeight="1">
      <c r="A9" s="34" t="s">
        <v>5</v>
      </c>
      <c r="B9" s="35"/>
      <c r="C9" s="36"/>
      <c r="D9" s="187"/>
      <c r="E9" s="187"/>
      <c r="F9" s="15"/>
      <c r="Z9" s="17"/>
      <c r="AA9" s="18"/>
    </row>
    <row r="10" spans="1:28" s="14" customFormat="1" ht="24.75" customHeight="1">
      <c r="A10" s="53" t="s">
        <v>67</v>
      </c>
      <c r="B10" s="35"/>
      <c r="C10" s="67"/>
      <c r="D10" s="187"/>
      <c r="E10" s="188"/>
      <c r="F10" s="15"/>
      <c r="Z10" s="17"/>
      <c r="AA10" s="18"/>
    </row>
    <row r="11" spans="1:28" s="14" customFormat="1" ht="24.75" customHeight="1">
      <c r="A11" s="53" t="s">
        <v>69</v>
      </c>
      <c r="B11" s="35"/>
      <c r="C11" s="67"/>
      <c r="D11" s="187"/>
      <c r="E11" s="188"/>
      <c r="F11" s="15"/>
      <c r="Z11" s="17"/>
      <c r="AA11" s="18"/>
    </row>
    <row r="12" spans="1:28" s="14" customFormat="1" ht="24.75" customHeight="1">
      <c r="A12" s="34" t="s">
        <v>6</v>
      </c>
      <c r="B12" s="35">
        <v>400</v>
      </c>
      <c r="C12" s="36">
        <v>401</v>
      </c>
      <c r="D12" s="187">
        <f t="shared" ref="D12" si="1">C12/B12</f>
        <v>1.0024999999999999</v>
      </c>
      <c r="E12" s="187">
        <f>C12/655</f>
        <v>0.61221374045801524</v>
      </c>
      <c r="F12" s="15"/>
      <c r="Z12" s="17"/>
      <c r="AA12" s="18"/>
    </row>
    <row r="13" spans="1:28" s="14" customFormat="1" ht="24.75" customHeight="1">
      <c r="A13" s="53" t="s">
        <v>70</v>
      </c>
      <c r="B13" s="35"/>
      <c r="C13" s="67"/>
      <c r="D13" s="187"/>
      <c r="E13" s="187"/>
      <c r="F13" s="15"/>
      <c r="Z13" s="17"/>
      <c r="AA13" s="18"/>
    </row>
    <row r="14" spans="1:28" s="14" customFormat="1" ht="24.75" customHeight="1">
      <c r="A14" s="53" t="s">
        <v>71</v>
      </c>
      <c r="B14" s="35"/>
      <c r="C14" s="67"/>
      <c r="D14" s="187"/>
      <c r="E14" s="187"/>
      <c r="F14" s="15"/>
      <c r="Z14" s="17"/>
      <c r="AA14" s="18"/>
    </row>
    <row r="15" spans="1:28" s="14" customFormat="1" ht="24.75" customHeight="1">
      <c r="A15" s="34" t="s">
        <v>7</v>
      </c>
      <c r="B15" s="35"/>
      <c r="C15" s="36">
        <v>3</v>
      </c>
      <c r="D15" s="187"/>
      <c r="E15" s="187">
        <f>C15/14</f>
        <v>0.21428571428571427</v>
      </c>
      <c r="F15" s="15"/>
      <c r="Z15" s="17"/>
      <c r="AA15" s="18"/>
    </row>
    <row r="16" spans="1:28" s="14" customFormat="1" ht="24.75" customHeight="1">
      <c r="A16" s="34" t="s">
        <v>8</v>
      </c>
      <c r="B16" s="35"/>
      <c r="C16" s="36"/>
      <c r="D16" s="187"/>
      <c r="E16" s="187"/>
      <c r="F16" s="15"/>
      <c r="Z16" s="17"/>
      <c r="AA16" s="18"/>
    </row>
    <row r="17" spans="1:27" s="14" customFormat="1" ht="24.75" customHeight="1">
      <c r="A17" s="34" t="s">
        <v>1109</v>
      </c>
      <c r="B17" s="35"/>
      <c r="C17" s="36"/>
      <c r="D17" s="187"/>
      <c r="E17" s="187"/>
      <c r="F17" s="15"/>
      <c r="Z17" s="17"/>
      <c r="AA17" s="18"/>
    </row>
    <row r="18" spans="1:27" s="14" customFormat="1" ht="24.75" customHeight="1">
      <c r="A18" s="34" t="s">
        <v>9</v>
      </c>
      <c r="B18" s="35"/>
      <c r="C18" s="36"/>
      <c r="D18" s="187"/>
      <c r="E18" s="187"/>
      <c r="F18" s="15"/>
      <c r="Z18" s="17"/>
      <c r="AA18" s="18"/>
    </row>
    <row r="19" spans="1:27" s="14" customFormat="1" ht="24.75" customHeight="1">
      <c r="A19" s="34" t="s">
        <v>67</v>
      </c>
      <c r="B19" s="35"/>
      <c r="C19" s="36"/>
      <c r="D19" s="187"/>
      <c r="E19" s="187"/>
      <c r="F19" s="15"/>
      <c r="Z19" s="17"/>
      <c r="AA19" s="18"/>
    </row>
    <row r="20" spans="1:27" s="14" customFormat="1" ht="24.75" customHeight="1">
      <c r="A20" s="34" t="s">
        <v>11</v>
      </c>
      <c r="B20" s="35"/>
      <c r="C20" s="36"/>
      <c r="D20" s="187"/>
      <c r="E20" s="187"/>
      <c r="F20" s="15"/>
      <c r="Z20" s="17"/>
      <c r="AA20" s="18"/>
    </row>
    <row r="21" spans="1:27" s="14" customFormat="1" ht="24.75" customHeight="1">
      <c r="A21" s="53" t="s">
        <v>72</v>
      </c>
      <c r="B21" s="35"/>
      <c r="C21" s="67"/>
      <c r="D21" s="187"/>
      <c r="E21" s="188"/>
      <c r="F21" s="15"/>
      <c r="Z21" s="17"/>
      <c r="AA21" s="18"/>
    </row>
    <row r="22" spans="1:27" s="14" customFormat="1" ht="24.75" customHeight="1" thickBot="1">
      <c r="A22" s="68" t="s">
        <v>10</v>
      </c>
      <c r="B22" s="37"/>
      <c r="C22" s="69"/>
      <c r="D22" s="189"/>
      <c r="E22" s="238">
        <f>C22/3</f>
        <v>0</v>
      </c>
      <c r="F22" s="15"/>
      <c r="Z22" s="17"/>
      <c r="AA22" s="18"/>
    </row>
    <row r="23" spans="1:27" s="14" customFormat="1" ht="24.75" customHeight="1">
      <c r="A23" s="50" t="s">
        <v>49</v>
      </c>
      <c r="B23" s="36">
        <f>SUM(B24:B26)</f>
        <v>558</v>
      </c>
      <c r="C23" s="36">
        <f>SUM(C24:C26)</f>
        <v>558</v>
      </c>
      <c r="D23" s="188"/>
      <c r="E23" s="187">
        <f>C23/341</f>
        <v>1.6363636363636365</v>
      </c>
      <c r="F23" s="15"/>
      <c r="Z23" s="17"/>
      <c r="AA23" s="18"/>
    </row>
    <row r="24" spans="1:27" s="14" customFormat="1" ht="24.75" customHeight="1">
      <c r="A24" s="34" t="s">
        <v>12</v>
      </c>
      <c r="B24" s="35">
        <v>516</v>
      </c>
      <c r="C24" s="36">
        <v>516</v>
      </c>
      <c r="D24" s="188"/>
      <c r="E24" s="187">
        <f>C24/336</f>
        <v>1.5357142857142858</v>
      </c>
      <c r="F24" s="15"/>
      <c r="Z24" s="17"/>
      <c r="AA24" s="18"/>
    </row>
    <row r="25" spans="1:27" s="14" customFormat="1" ht="24.75" customHeight="1">
      <c r="A25" s="34" t="s">
        <v>13</v>
      </c>
      <c r="B25" s="35">
        <v>42</v>
      </c>
      <c r="C25" s="36">
        <v>42</v>
      </c>
      <c r="D25" s="188"/>
      <c r="E25" s="187">
        <f>C25/5</f>
        <v>8.4</v>
      </c>
      <c r="F25" s="15"/>
      <c r="Z25" s="17"/>
      <c r="AA25" s="18"/>
    </row>
    <row r="26" spans="1:27" s="14" customFormat="1" ht="24.75" customHeight="1" thickBot="1">
      <c r="A26" s="53" t="s">
        <v>1155</v>
      </c>
      <c r="B26" s="35"/>
      <c r="C26" s="67"/>
      <c r="D26" s="188"/>
      <c r="E26" s="188"/>
      <c r="F26" s="15"/>
      <c r="Z26" s="17"/>
      <c r="AA26" s="18"/>
    </row>
    <row r="27" spans="1:27" s="149" customFormat="1" ht="24.75" customHeight="1" thickBot="1">
      <c r="A27" s="230" t="s">
        <v>39</v>
      </c>
      <c r="B27" s="231">
        <f>B6+B23</f>
        <v>958</v>
      </c>
      <c r="C27" s="231">
        <f>C6+C23</f>
        <v>962</v>
      </c>
      <c r="D27" s="232">
        <f>C27/B27</f>
        <v>1.0041753653444676</v>
      </c>
      <c r="E27" s="239">
        <f>C27/1010</f>
        <v>0.95247524752475243</v>
      </c>
      <c r="F27" s="233"/>
      <c r="G27" s="234"/>
    </row>
  </sheetData>
  <mergeCells count="6">
    <mergeCell ref="A2:E2"/>
    <mergeCell ref="A4:A5"/>
    <mergeCell ref="B4:B5"/>
    <mergeCell ref="C4:C5"/>
    <mergeCell ref="E4:E5"/>
    <mergeCell ref="D4:D5"/>
  </mergeCells>
  <phoneticPr fontId="1" type="noConversion"/>
  <printOptions horizontalCentered="1"/>
  <pageMargins left="0.98425196850393704" right="0.74803149606299213" top="0.98425196850393704" bottom="0.98425196850393704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24"/>
  <sheetViews>
    <sheetView workbookViewId="0">
      <selection activeCell="C18" sqref="C18"/>
    </sheetView>
  </sheetViews>
  <sheetFormatPr defaultRowHeight="15"/>
  <cols>
    <col min="1" max="1" width="30.875" style="4" customWidth="1"/>
    <col min="2" max="2" width="10.25" style="21" customWidth="1"/>
    <col min="3" max="3" width="10.125" style="4" customWidth="1"/>
    <col min="4" max="4" width="8.125" style="153" customWidth="1"/>
    <col min="5" max="5" width="9.625" style="153" customWidth="1"/>
    <col min="6" max="7" width="9" style="4"/>
    <col min="8" max="16384" width="9" style="8"/>
  </cols>
  <sheetData>
    <row r="1" spans="1:7" ht="20.100000000000001" customHeight="1">
      <c r="A1" s="52" t="s">
        <v>162</v>
      </c>
      <c r="B1" s="4"/>
      <c r="G1" s="8"/>
    </row>
    <row r="2" spans="1:7" s="4" customFormat="1" ht="37.5" customHeight="1">
      <c r="A2" s="287" t="s">
        <v>1157</v>
      </c>
      <c r="B2" s="287"/>
      <c r="C2" s="287"/>
      <c r="D2" s="287"/>
      <c r="E2" s="287"/>
    </row>
    <row r="3" spans="1:7" s="19" customFormat="1" ht="24" customHeight="1" thickBot="1">
      <c r="A3" s="22"/>
      <c r="B3" s="38"/>
      <c r="C3" s="22"/>
      <c r="D3" s="154"/>
      <c r="E3" s="244" t="s">
        <v>0</v>
      </c>
    </row>
    <row r="4" spans="1:7" s="19" customFormat="1" ht="24" customHeight="1">
      <c r="A4" s="313" t="s">
        <v>3</v>
      </c>
      <c r="B4" s="305" t="s">
        <v>169</v>
      </c>
      <c r="C4" s="307" t="s">
        <v>66</v>
      </c>
      <c r="D4" s="311" t="s">
        <v>53</v>
      </c>
      <c r="E4" s="309" t="s">
        <v>1066</v>
      </c>
    </row>
    <row r="5" spans="1:7" s="19" customFormat="1" ht="24" customHeight="1" thickBot="1">
      <c r="A5" s="314"/>
      <c r="B5" s="306"/>
      <c r="C5" s="308"/>
      <c r="D5" s="312"/>
      <c r="E5" s="310"/>
    </row>
    <row r="6" spans="1:7" s="20" customFormat="1" ht="24" customHeight="1">
      <c r="A6" s="60" t="s">
        <v>51</v>
      </c>
      <c r="B6" s="39">
        <f>B7+B9+B13+B14+B17</f>
        <v>5562</v>
      </c>
      <c r="C6" s="40">
        <f>C7+C9+C13+C14</f>
        <v>5557</v>
      </c>
      <c r="D6" s="235">
        <f>C6/B6</f>
        <v>0.99910104279036316</v>
      </c>
      <c r="E6" s="245">
        <f>C6/962</f>
        <v>5.7765072765072762</v>
      </c>
    </row>
    <row r="7" spans="1:7" s="19" customFormat="1" ht="24" customHeight="1">
      <c r="A7" s="27" t="s">
        <v>14</v>
      </c>
      <c r="B7" s="39"/>
      <c r="C7" s="40"/>
      <c r="D7" s="235"/>
      <c r="E7" s="161"/>
      <c r="F7" s="19" t="s">
        <v>2</v>
      </c>
    </row>
    <row r="8" spans="1:7" s="19" customFormat="1" ht="24" customHeight="1">
      <c r="A8" s="27" t="s">
        <v>73</v>
      </c>
      <c r="B8" s="39"/>
      <c r="C8" s="40"/>
      <c r="D8" s="235"/>
      <c r="E8" s="161"/>
      <c r="F8" s="19" t="s">
        <v>2</v>
      </c>
    </row>
    <row r="9" spans="1:7" s="19" customFormat="1" ht="24" customHeight="1">
      <c r="A9" s="27" t="s">
        <v>1061</v>
      </c>
      <c r="B9" s="39">
        <f>SUM(B10:B12)</f>
        <v>5168</v>
      </c>
      <c r="C9" s="39">
        <f>SUM(C10:C12)</f>
        <v>5163</v>
      </c>
      <c r="D9" s="235">
        <f t="shared" ref="D9:D17" si="0">C9/B9</f>
        <v>0.99903250773993812</v>
      </c>
      <c r="E9" s="161">
        <f>C9/721</f>
        <v>7.160887656033287</v>
      </c>
      <c r="F9" s="19" t="s">
        <v>2</v>
      </c>
    </row>
    <row r="10" spans="1:7" s="19" customFormat="1" ht="24" customHeight="1">
      <c r="A10" s="27" t="s">
        <v>1062</v>
      </c>
      <c r="B10" s="70"/>
      <c r="C10" s="71"/>
      <c r="D10" s="235"/>
      <c r="E10" s="157"/>
    </row>
    <row r="11" spans="1:7" s="19" customFormat="1" ht="24" customHeight="1">
      <c r="A11" s="27" t="s">
        <v>1063</v>
      </c>
      <c r="B11" s="39">
        <v>5157</v>
      </c>
      <c r="C11" s="40">
        <v>5155</v>
      </c>
      <c r="D11" s="235">
        <f t="shared" si="0"/>
        <v>0.99961217762264887</v>
      </c>
      <c r="E11" s="161">
        <f>C11/721</f>
        <v>7.1497919556171983</v>
      </c>
      <c r="F11" s="19" t="s">
        <v>2</v>
      </c>
    </row>
    <row r="12" spans="1:7" s="19" customFormat="1" ht="24" customHeight="1">
      <c r="A12" s="27" t="s">
        <v>1148</v>
      </c>
      <c r="B12" s="39">
        <v>11</v>
      </c>
      <c r="C12" s="40">
        <v>8</v>
      </c>
      <c r="D12" s="235"/>
      <c r="E12" s="161">
        <f t="shared" ref="E12" si="1">C12/721</f>
        <v>1.1095700416088766E-2</v>
      </c>
      <c r="F12" s="19" t="s">
        <v>2</v>
      </c>
    </row>
    <row r="13" spans="1:7" s="19" customFormat="1" ht="24" customHeight="1">
      <c r="A13" s="27" t="s">
        <v>1110</v>
      </c>
      <c r="B13" s="39">
        <v>22</v>
      </c>
      <c r="C13" s="40">
        <v>22</v>
      </c>
      <c r="D13" s="235">
        <f t="shared" si="0"/>
        <v>1</v>
      </c>
      <c r="E13" s="161">
        <f>C13/19</f>
        <v>1.1578947368421053</v>
      </c>
      <c r="F13" s="19" t="s">
        <v>2</v>
      </c>
    </row>
    <row r="14" spans="1:7" s="19" customFormat="1" ht="24" customHeight="1">
      <c r="A14" s="27" t="s">
        <v>15</v>
      </c>
      <c r="B14" s="39">
        <f>B15</f>
        <v>367</v>
      </c>
      <c r="C14" s="40">
        <f>C15</f>
        <v>372</v>
      </c>
      <c r="D14" s="235">
        <f t="shared" si="0"/>
        <v>1.013623978201635</v>
      </c>
      <c r="E14" s="161">
        <f>C14/222</f>
        <v>1.6756756756756757</v>
      </c>
      <c r="F14" s="19" t="s">
        <v>2</v>
      </c>
    </row>
    <row r="15" spans="1:7" s="19" customFormat="1" ht="24" customHeight="1">
      <c r="A15" s="27" t="s">
        <v>16</v>
      </c>
      <c r="B15" s="40">
        <f>SUM(B16)</f>
        <v>367</v>
      </c>
      <c r="C15" s="40">
        <f>SUM(C16:C17)</f>
        <v>372</v>
      </c>
      <c r="D15" s="235">
        <f t="shared" si="0"/>
        <v>1.013623978201635</v>
      </c>
      <c r="E15" s="161">
        <f>C15/222</f>
        <v>1.6756756756756757</v>
      </c>
      <c r="F15" s="19" t="s">
        <v>2</v>
      </c>
    </row>
    <row r="16" spans="1:7" s="19" customFormat="1" ht="24" customHeight="1">
      <c r="A16" s="49" t="s">
        <v>1064</v>
      </c>
      <c r="B16" s="70">
        <v>367</v>
      </c>
      <c r="C16" s="40">
        <v>367</v>
      </c>
      <c r="D16" s="235">
        <f t="shared" si="0"/>
        <v>1</v>
      </c>
      <c r="E16" s="157">
        <f>C16/222</f>
        <v>1.6531531531531531</v>
      </c>
    </row>
    <row r="17" spans="1:7" s="19" customFormat="1" ht="24" customHeight="1" thickBot="1">
      <c r="A17" s="73" t="s">
        <v>1158</v>
      </c>
      <c r="B17" s="74">
        <v>5</v>
      </c>
      <c r="C17" s="75">
        <v>5</v>
      </c>
      <c r="D17" s="236">
        <f t="shared" si="0"/>
        <v>1</v>
      </c>
      <c r="E17" s="246">
        <f>C17/3</f>
        <v>1.6666666666666667</v>
      </c>
      <c r="F17" s="19" t="s">
        <v>2</v>
      </c>
    </row>
    <row r="18" spans="1:7" s="20" customFormat="1" ht="24" customHeight="1">
      <c r="A18" s="50" t="s">
        <v>50</v>
      </c>
      <c r="B18" s="40"/>
      <c r="C18" s="40">
        <f>SUM(C19:C23)</f>
        <v>5</v>
      </c>
      <c r="D18" s="235"/>
      <c r="E18" s="161">
        <f>C18/48</f>
        <v>0.10416666666666667</v>
      </c>
      <c r="F18" s="20" t="s">
        <v>2</v>
      </c>
    </row>
    <row r="19" spans="1:7" s="19" customFormat="1" ht="24" customHeight="1">
      <c r="A19" s="27" t="s">
        <v>74</v>
      </c>
      <c r="B19" s="39"/>
      <c r="C19" s="40"/>
      <c r="D19" s="235"/>
      <c r="E19" s="161">
        <f t="shared" ref="E19" si="2">C19/48</f>
        <v>0</v>
      </c>
      <c r="F19" s="19" t="s">
        <v>2</v>
      </c>
    </row>
    <row r="20" spans="1:7" s="19" customFormat="1" ht="24" customHeight="1">
      <c r="A20" s="27" t="s">
        <v>75</v>
      </c>
      <c r="B20" s="39"/>
      <c r="C20" s="40"/>
      <c r="D20" s="235"/>
      <c r="E20" s="161">
        <f>C20/6</f>
        <v>0</v>
      </c>
      <c r="F20" s="19" t="s">
        <v>2</v>
      </c>
    </row>
    <row r="21" spans="1:7" s="19" customFormat="1" ht="18" customHeight="1">
      <c r="A21" s="49" t="s">
        <v>78</v>
      </c>
      <c r="B21" s="70"/>
      <c r="C21" s="71"/>
      <c r="D21" s="235"/>
      <c r="E21" s="157"/>
    </row>
    <row r="22" spans="1:7" s="19" customFormat="1" ht="24" customHeight="1">
      <c r="A22" s="27" t="s">
        <v>76</v>
      </c>
      <c r="B22" s="39"/>
      <c r="C22" s="40"/>
      <c r="D22" s="235"/>
      <c r="E22" s="161">
        <f>C22/13</f>
        <v>0</v>
      </c>
      <c r="F22" s="19" t="s">
        <v>2</v>
      </c>
    </row>
    <row r="23" spans="1:7" s="19" customFormat="1" ht="24" customHeight="1" thickBot="1">
      <c r="A23" s="49" t="s">
        <v>77</v>
      </c>
      <c r="B23" s="70"/>
      <c r="C23" s="71">
        <v>5</v>
      </c>
      <c r="D23" s="236"/>
      <c r="E23" s="157">
        <f>C23/42</f>
        <v>0.11904761904761904</v>
      </c>
    </row>
    <row r="24" spans="1:7" s="243" customFormat="1" ht="24" customHeight="1" thickBot="1">
      <c r="A24" s="240" t="s">
        <v>47</v>
      </c>
      <c r="B24" s="241">
        <f>B6+B18</f>
        <v>5562</v>
      </c>
      <c r="C24" s="241">
        <f>C6+C18</f>
        <v>5562</v>
      </c>
      <c r="D24" s="242"/>
      <c r="E24" s="247">
        <f>C24/1010</f>
        <v>5.5069306930693065</v>
      </c>
      <c r="F24" s="149"/>
      <c r="G24" s="149"/>
    </row>
  </sheetData>
  <mergeCells count="6">
    <mergeCell ref="A2:E2"/>
    <mergeCell ref="A4:A5"/>
    <mergeCell ref="B4:B5"/>
    <mergeCell ref="C4:C5"/>
    <mergeCell ref="D4:D5"/>
    <mergeCell ref="E4:E5"/>
  </mergeCells>
  <phoneticPr fontId="1" type="noConversion"/>
  <pageMargins left="0.98425196850393704" right="0.74803149606299213" top="0.98425196850393704" bottom="0.98425196850393704" header="0.31496062992125984" footer="0.31496062992125984"/>
  <pageSetup paperSize="9" scale="12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E29"/>
  <sheetViews>
    <sheetView workbookViewId="0">
      <selection activeCell="H9" sqref="H9"/>
    </sheetView>
  </sheetViews>
  <sheetFormatPr defaultRowHeight="15"/>
  <cols>
    <col min="1" max="1" width="31.5" style="4" customWidth="1"/>
    <col min="2" max="3" width="14.375" style="4" customWidth="1"/>
    <col min="4" max="4" width="11.875" style="4" customWidth="1"/>
    <col min="5" max="5" width="9.75" style="4" customWidth="1"/>
    <col min="6" max="6" width="13" style="4" customWidth="1"/>
    <col min="7" max="31" width="9" style="4"/>
    <col min="32" max="16384" width="9" style="8"/>
  </cols>
  <sheetData>
    <row r="1" spans="1:31" ht="20.100000000000001" customHeight="1">
      <c r="A1" s="52" t="s">
        <v>1144</v>
      </c>
      <c r="B1" s="52"/>
      <c r="C1" s="52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</row>
    <row r="2" spans="1:31" s="4" customFormat="1" ht="50.1" customHeight="1">
      <c r="A2" s="317" t="s">
        <v>1159</v>
      </c>
      <c r="B2" s="317"/>
      <c r="C2" s="317"/>
      <c r="D2" s="317"/>
      <c r="E2" s="317"/>
    </row>
    <row r="3" spans="1:31" s="14" customFormat="1" ht="24" customHeight="1" thickBot="1">
      <c r="A3" s="32"/>
      <c r="B3" s="32"/>
      <c r="C3" s="32"/>
      <c r="E3" s="33" t="s">
        <v>0</v>
      </c>
    </row>
    <row r="4" spans="1:31" s="14" customFormat="1" ht="24" customHeight="1">
      <c r="A4" s="318" t="s">
        <v>3</v>
      </c>
      <c r="B4" s="322" t="s">
        <v>42</v>
      </c>
      <c r="C4" s="315" t="s">
        <v>66</v>
      </c>
      <c r="D4" s="320" t="s">
        <v>53</v>
      </c>
      <c r="E4" s="315" t="s">
        <v>1066</v>
      </c>
    </row>
    <row r="5" spans="1:31" s="14" customFormat="1" ht="24" customHeight="1" thickBot="1">
      <c r="A5" s="319"/>
      <c r="B5" s="323"/>
      <c r="C5" s="316"/>
      <c r="D5" s="321"/>
      <c r="E5" s="316"/>
    </row>
    <row r="6" spans="1:31" s="14" customFormat="1" ht="24" customHeight="1">
      <c r="A6" s="62" t="s">
        <v>80</v>
      </c>
      <c r="B6" s="77"/>
      <c r="C6" s="94"/>
      <c r="D6" s="61"/>
      <c r="E6" s="100"/>
      <c r="AB6" s="17"/>
      <c r="AC6" s="17"/>
      <c r="AD6" s="18"/>
    </row>
    <row r="7" spans="1:31" s="14" customFormat="1" ht="24" customHeight="1">
      <c r="A7" s="84" t="s">
        <v>79</v>
      </c>
      <c r="B7" s="52"/>
      <c r="C7" s="95"/>
      <c r="D7" s="82"/>
      <c r="E7" s="100"/>
      <c r="AB7" s="17"/>
      <c r="AC7" s="17"/>
      <c r="AD7" s="18"/>
    </row>
    <row r="8" spans="1:31" s="14" customFormat="1" ht="24" customHeight="1">
      <c r="A8" s="85" t="s">
        <v>82</v>
      </c>
      <c r="B8" s="32"/>
      <c r="C8" s="96"/>
      <c r="D8" s="43"/>
      <c r="E8" s="100"/>
      <c r="AB8" s="17"/>
      <c r="AC8" s="17"/>
      <c r="AD8" s="18"/>
    </row>
    <row r="9" spans="1:31" s="14" customFormat="1" ht="24" customHeight="1">
      <c r="A9" s="85" t="s">
        <v>83</v>
      </c>
      <c r="B9" s="32"/>
      <c r="C9" s="96"/>
      <c r="D9" s="43"/>
      <c r="E9" s="100"/>
      <c r="AB9" s="17"/>
      <c r="AC9" s="17"/>
      <c r="AD9" s="18"/>
    </row>
    <row r="10" spans="1:31" s="14" customFormat="1" ht="24" customHeight="1">
      <c r="A10" s="85" t="s">
        <v>84</v>
      </c>
      <c r="B10" s="32"/>
      <c r="C10" s="96"/>
      <c r="D10" s="43"/>
      <c r="E10" s="100"/>
      <c r="AB10" s="17"/>
      <c r="AC10" s="17"/>
      <c r="AD10" s="18"/>
    </row>
    <row r="11" spans="1:31" s="14" customFormat="1" ht="24" customHeight="1" thickBot="1">
      <c r="A11" s="134" t="s">
        <v>56</v>
      </c>
      <c r="B11" s="141"/>
      <c r="C11" s="135"/>
      <c r="D11" s="81"/>
      <c r="E11" s="136"/>
      <c r="AB11" s="17"/>
      <c r="AC11" s="17"/>
      <c r="AD11" s="18"/>
    </row>
    <row r="12" spans="1:31" s="14" customFormat="1" ht="24" customHeight="1">
      <c r="A12" s="83" t="s">
        <v>81</v>
      </c>
      <c r="B12" s="32"/>
      <c r="C12" s="96"/>
      <c r="D12" s="82"/>
      <c r="E12" s="100"/>
      <c r="AB12" s="17"/>
      <c r="AC12" s="17"/>
      <c r="AD12" s="18"/>
    </row>
    <row r="13" spans="1:31" s="14" customFormat="1" ht="24" customHeight="1">
      <c r="A13" s="86" t="s">
        <v>85</v>
      </c>
      <c r="B13" s="32"/>
      <c r="C13" s="96"/>
      <c r="D13" s="82"/>
      <c r="E13" s="100"/>
      <c r="AB13" s="17"/>
      <c r="AC13" s="17"/>
      <c r="AD13" s="18"/>
    </row>
    <row r="14" spans="1:31" s="14" customFormat="1" ht="24" customHeight="1" thickBot="1">
      <c r="A14" s="87" t="s">
        <v>94</v>
      </c>
      <c r="B14" s="80"/>
      <c r="C14" s="97"/>
      <c r="D14" s="81"/>
      <c r="E14" s="101"/>
      <c r="AB14" s="17"/>
      <c r="AC14" s="17"/>
      <c r="AD14" s="18"/>
    </row>
    <row r="15" spans="1:31" s="14" customFormat="1" ht="24" customHeight="1" thickBot="1">
      <c r="A15" s="93" t="s">
        <v>95</v>
      </c>
      <c r="B15" s="80"/>
      <c r="C15" s="97"/>
      <c r="D15" s="81"/>
      <c r="E15" s="101"/>
      <c r="AB15" s="17"/>
      <c r="AC15" s="17"/>
      <c r="AD15" s="18"/>
    </row>
    <row r="16" spans="1:31" s="14" customFormat="1" ht="24" customHeight="1">
      <c r="A16" s="50" t="s">
        <v>89</v>
      </c>
      <c r="B16" s="52"/>
      <c r="C16" s="95"/>
      <c r="D16" s="41"/>
      <c r="E16" s="100"/>
      <c r="AB16" s="17"/>
      <c r="AC16" s="17"/>
      <c r="AD16" s="18"/>
    </row>
    <row r="17" spans="1:30" ht="24" customHeight="1">
      <c r="A17" s="88" t="s">
        <v>87</v>
      </c>
      <c r="B17" s="78"/>
      <c r="C17" s="98"/>
      <c r="D17" s="41"/>
      <c r="E17" s="102" t="s">
        <v>2</v>
      </c>
    </row>
    <row r="18" spans="1:30" ht="24" customHeight="1">
      <c r="A18" s="89" t="s">
        <v>58</v>
      </c>
      <c r="B18" s="78"/>
      <c r="C18" s="98"/>
      <c r="D18" s="41"/>
      <c r="E18" s="102"/>
    </row>
    <row r="19" spans="1:30" ht="24" customHeight="1">
      <c r="A19" s="88" t="s">
        <v>58</v>
      </c>
      <c r="B19" s="78"/>
      <c r="C19" s="98"/>
      <c r="D19" s="72"/>
      <c r="E19" s="102"/>
    </row>
    <row r="20" spans="1:30" ht="24" customHeight="1">
      <c r="A20" s="90" t="s">
        <v>58</v>
      </c>
      <c r="B20" s="78"/>
      <c r="C20" s="98"/>
      <c r="D20" s="72"/>
      <c r="E20" s="102"/>
    </row>
    <row r="21" spans="1:30" ht="24" customHeight="1">
      <c r="A21" s="88" t="s">
        <v>88</v>
      </c>
      <c r="B21" s="78"/>
      <c r="C21" s="98"/>
      <c r="D21" s="41"/>
      <c r="E21" s="102" t="s">
        <v>2</v>
      </c>
    </row>
    <row r="22" spans="1:30" ht="24" customHeight="1">
      <c r="A22" s="90" t="s">
        <v>58</v>
      </c>
      <c r="B22" s="78"/>
      <c r="C22" s="98"/>
      <c r="D22" s="72"/>
      <c r="E22" s="102"/>
    </row>
    <row r="23" spans="1:30" ht="24" customHeight="1" thickBot="1">
      <c r="A23" s="137" t="s">
        <v>86</v>
      </c>
      <c r="B23" s="138"/>
      <c r="C23" s="139"/>
      <c r="D23" s="76"/>
      <c r="E23" s="140"/>
    </row>
    <row r="24" spans="1:30" ht="24" customHeight="1">
      <c r="A24" s="83" t="s">
        <v>90</v>
      </c>
      <c r="B24" s="78"/>
      <c r="C24" s="98"/>
      <c r="D24" s="41"/>
      <c r="E24" s="102" t="s">
        <v>2</v>
      </c>
    </row>
    <row r="25" spans="1:30" ht="24" customHeight="1">
      <c r="A25" s="91" t="s">
        <v>91</v>
      </c>
      <c r="B25" s="78"/>
      <c r="C25" s="98"/>
      <c r="D25" s="72"/>
      <c r="E25" s="102"/>
    </row>
    <row r="26" spans="1:30" ht="24" customHeight="1">
      <c r="A26" s="91" t="s">
        <v>92</v>
      </c>
      <c r="B26" s="78"/>
      <c r="C26" s="98"/>
      <c r="D26" s="72"/>
      <c r="E26" s="102"/>
    </row>
    <row r="27" spans="1:30" ht="24" customHeight="1" thickBot="1">
      <c r="A27" s="92" t="s">
        <v>93</v>
      </c>
      <c r="B27" s="79"/>
      <c r="C27" s="99"/>
      <c r="D27" s="42"/>
      <c r="E27" s="103"/>
    </row>
    <row r="28" spans="1:30" s="14" customFormat="1" ht="24" customHeight="1" thickBot="1">
      <c r="A28" s="93" t="s">
        <v>96</v>
      </c>
      <c r="B28" s="80"/>
      <c r="C28" s="97"/>
      <c r="D28" s="81"/>
      <c r="E28" s="101"/>
      <c r="AB28" s="17"/>
      <c r="AC28" s="17"/>
      <c r="AD28" s="18"/>
    </row>
    <row r="29" spans="1:30" ht="24" customHeight="1">
      <c r="A29" s="4" t="s">
        <v>17</v>
      </c>
      <c r="E29" s="7" t="s">
        <v>2</v>
      </c>
    </row>
  </sheetData>
  <mergeCells count="6">
    <mergeCell ref="E4:E5"/>
    <mergeCell ref="A2:E2"/>
    <mergeCell ref="A4:A5"/>
    <mergeCell ref="D4:D5"/>
    <mergeCell ref="B4:B5"/>
    <mergeCell ref="C4:C5"/>
  </mergeCells>
  <phoneticPr fontId="1" type="noConversion"/>
  <printOptions horizontalCentered="1"/>
  <pageMargins left="0.82" right="0.74803149606299213" top="0.98425196850393704" bottom="0.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13</vt:i4>
      </vt:variant>
    </vt:vector>
  </HeadingPairs>
  <TitlesOfParts>
    <vt:vector size="24" baseType="lpstr">
      <vt:lpstr>附件1</vt:lpstr>
      <vt:lpstr>附件2</vt:lpstr>
      <vt:lpstr>附件3</vt:lpstr>
      <vt:lpstr>附件4</vt:lpstr>
      <vt:lpstr>附件5</vt:lpstr>
      <vt:lpstr>附件6</vt:lpstr>
      <vt:lpstr>附件7</vt:lpstr>
      <vt:lpstr>附件8</vt:lpstr>
      <vt:lpstr>附件9</vt:lpstr>
      <vt:lpstr>附件10</vt:lpstr>
      <vt:lpstr>附件11</vt:lpstr>
      <vt:lpstr>附件1!Print_Area</vt:lpstr>
      <vt:lpstr>附件10!Print_Area</vt:lpstr>
      <vt:lpstr>附件3!Print_Area</vt:lpstr>
      <vt:lpstr>附件4!Print_Area</vt:lpstr>
      <vt:lpstr>附件8!Print_Area</vt:lpstr>
      <vt:lpstr>附件9!Print_Area</vt:lpstr>
      <vt:lpstr>附件10!Print_Titles</vt:lpstr>
      <vt:lpstr>附件11!Print_Titles</vt:lpstr>
      <vt:lpstr>附件2!Print_Titles</vt:lpstr>
      <vt:lpstr>附件3!Print_Titles</vt:lpstr>
      <vt:lpstr>附件4!Print_Titles</vt:lpstr>
      <vt:lpstr>附件7!Print_Titles</vt:lpstr>
      <vt:lpstr>附件8!Print_Titles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2019-06-24T07:27:15Z</dcterms:modified>
</cp:coreProperties>
</file>